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4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7 Nuptialite\"/>
    </mc:Choice>
  </mc:AlternateContent>
  <xr:revisionPtr revIDLastSave="0" documentId="8_{B9FD9360-0533-48E1-B08F-02617009D94E}" xr6:coauthVersionLast="47" xr6:coauthVersionMax="47" xr10:uidLastSave="{00000000-0000-0000-0000-000000000000}"/>
  <bookViews>
    <workbookView xWindow="2280" yWindow="2480" windowWidth="34570" windowHeight="18640" tabRatio="622" xr2:uid="{00000000-000D-0000-FFFF-FFFF00000000}"/>
  </bookViews>
  <sheets>
    <sheet name="Ennocé" sheetId="3" r:id="rId1"/>
    <sheet name="Décès" sheetId="1" r:id="rId2"/>
    <sheet name="Population" sheetId="5" r:id="rId3"/>
    <sheet name="Mariages" sheetId="4" r:id="rId4"/>
    <sheet name="SMAM" sheetId="2" r:id="rId5"/>
    <sheet name="Table 1" sheetId="6" r:id="rId6"/>
    <sheet name="Table 2" sheetId="7" r:id="rId7"/>
    <sheet name="Table 3" sheetId="11" r:id="rId8"/>
    <sheet name="Table 3 (2-&gt;3)" sheetId="12" r:id="rId9"/>
    <sheet name="Comparaison 1-2-3" sheetId="8" r:id="rId10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1" i="11" l="1"/>
  <c r="AK20" i="11"/>
  <c r="AJ20" i="11"/>
  <c r="AF21" i="11"/>
  <c r="AG20" i="11"/>
  <c r="AF20" i="11"/>
  <c r="AH19" i="11"/>
  <c r="AH18" i="11"/>
  <c r="AH17" i="11"/>
  <c r="AH16" i="11"/>
  <c r="AH15" i="11"/>
  <c r="AH14" i="11"/>
  <c r="AH13" i="11"/>
  <c r="AI13" i="11" s="1"/>
  <c r="AH12" i="11"/>
  <c r="AI12" i="11" s="1"/>
  <c r="AH11" i="11"/>
  <c r="AH10" i="11"/>
  <c r="AI10" i="11" s="1"/>
  <c r="AH9" i="11"/>
  <c r="AH8" i="11"/>
  <c r="AI19" i="11"/>
  <c r="AI18" i="11"/>
  <c r="AI17" i="11"/>
  <c r="AI16" i="11"/>
  <c r="AI15" i="11"/>
  <c r="AI14" i="11"/>
  <c r="AI11" i="11"/>
  <c r="AI9" i="11"/>
  <c r="AI8" i="11"/>
  <c r="AK8" i="11" s="1"/>
  <c r="AJ9" i="11" s="1"/>
  <c r="AD19" i="11"/>
  <c r="AE19" i="11"/>
  <c r="AF19" i="11"/>
  <c r="AG19" i="11" s="1"/>
  <c r="AC10" i="11"/>
  <c r="AC11" i="11" s="1"/>
  <c r="AC12" i="11" s="1"/>
  <c r="AC13" i="11" s="1"/>
  <c r="AC14" i="11" s="1"/>
  <c r="AC15" i="11" s="1"/>
  <c r="AC16" i="11" s="1"/>
  <c r="AC17" i="11" s="1"/>
  <c r="AC18" i="11" s="1"/>
  <c r="AC19" i="11" s="1"/>
  <c r="AC9" i="11"/>
  <c r="AE10" i="11"/>
  <c r="AE12" i="11"/>
  <c r="AE13" i="11"/>
  <c r="AE14" i="11"/>
  <c r="AE18" i="11"/>
  <c r="AD9" i="11"/>
  <c r="AE9" i="11" s="1"/>
  <c r="AD10" i="11"/>
  <c r="AD11" i="11"/>
  <c r="AE11" i="11" s="1"/>
  <c r="AD12" i="11"/>
  <c r="AD13" i="11"/>
  <c r="AD14" i="11"/>
  <c r="AD15" i="11"/>
  <c r="AE15" i="11" s="1"/>
  <c r="AD16" i="11"/>
  <c r="AE16" i="11" s="1"/>
  <c r="AD17" i="11"/>
  <c r="AE17" i="11" s="1"/>
  <c r="AD18" i="11"/>
  <c r="AD8" i="11"/>
  <c r="AE8" i="11" s="1"/>
  <c r="AG8" i="11" s="1"/>
  <c r="AF9" i="11" s="1"/>
  <c r="AL21" i="7"/>
  <c r="AL20" i="7"/>
  <c r="AE21" i="7"/>
  <c r="F3" i="8"/>
  <c r="AJ16" i="7"/>
  <c r="AH9" i="7"/>
  <c r="AI9" i="7"/>
  <c r="AK9" i="7" s="1"/>
  <c r="AH10" i="7"/>
  <c r="AJ10" i="7" s="1"/>
  <c r="AI10" i="7"/>
  <c r="AH11" i="7"/>
  <c r="AJ11" i="7" s="1"/>
  <c r="AI11" i="7"/>
  <c r="AH12" i="7"/>
  <c r="AI12" i="7"/>
  <c r="AH13" i="7"/>
  <c r="AI13" i="7"/>
  <c r="AK13" i="7" s="1"/>
  <c r="AH14" i="7"/>
  <c r="AJ14" i="7" s="1"/>
  <c r="AI14" i="7"/>
  <c r="AH15" i="7"/>
  <c r="AJ15" i="7" s="1"/>
  <c r="AI15" i="7"/>
  <c r="AH16" i="7"/>
  <c r="AK16" i="7" s="1"/>
  <c r="AI16" i="7"/>
  <c r="AH17" i="7"/>
  <c r="AI17" i="7"/>
  <c r="AK17" i="7" s="1"/>
  <c r="AH18" i="7"/>
  <c r="AJ18" i="7" s="1"/>
  <c r="AI18" i="7"/>
  <c r="AH19" i="7"/>
  <c r="AJ19" i="7" s="1"/>
  <c r="AI19" i="7"/>
  <c r="AI8" i="7"/>
  <c r="AK8" i="7" s="1"/>
  <c r="AN8" i="7" s="1"/>
  <c r="AH8" i="7"/>
  <c r="AD16" i="7"/>
  <c r="AB9" i="7"/>
  <c r="AD9" i="7" s="1"/>
  <c r="AB10" i="7"/>
  <c r="AB11" i="7"/>
  <c r="AB12" i="7"/>
  <c r="AB13" i="7"/>
  <c r="AB14" i="7"/>
  <c r="AD14" i="7" s="1"/>
  <c r="AB15" i="7"/>
  <c r="AC15" i="7" s="1"/>
  <c r="AB16" i="7"/>
  <c r="AB17" i="7"/>
  <c r="AD17" i="7" s="1"/>
  <c r="AB18" i="7"/>
  <c r="AD18" i="7" s="1"/>
  <c r="AB19" i="7"/>
  <c r="AB8" i="7"/>
  <c r="AA9" i="7"/>
  <c r="AA10" i="7"/>
  <c r="AC10" i="7" s="1"/>
  <c r="AA11" i="7"/>
  <c r="AC11" i="7" s="1"/>
  <c r="AA12" i="7"/>
  <c r="AA13" i="7"/>
  <c r="AC13" i="7" s="1"/>
  <c r="AA14" i="7"/>
  <c r="AA15" i="7"/>
  <c r="AA16" i="7"/>
  <c r="AA17" i="7"/>
  <c r="AA18" i="7"/>
  <c r="AC18" i="7" s="1"/>
  <c r="AA19" i="7"/>
  <c r="AC19" i="7" s="1"/>
  <c r="AA8" i="7"/>
  <c r="AD8" i="7" s="1"/>
  <c r="AG8" i="7" s="1"/>
  <c r="J40" i="12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H19" i="12"/>
  <c r="G19" i="12"/>
  <c r="F19" i="12"/>
  <c r="E19" i="12"/>
  <c r="D19" i="12"/>
  <c r="C19" i="12"/>
  <c r="S18" i="12"/>
  <c r="K18" i="12"/>
  <c r="S17" i="12"/>
  <c r="T17" i="12" s="1"/>
  <c r="K17" i="12"/>
  <c r="L17" i="12" s="1"/>
  <c r="S16" i="12"/>
  <c r="T16" i="12" s="1"/>
  <c r="K16" i="12"/>
  <c r="L16" i="12" s="1"/>
  <c r="S15" i="12"/>
  <c r="T15" i="12" s="1"/>
  <c r="K15" i="12"/>
  <c r="L15" i="12" s="1"/>
  <c r="S14" i="12"/>
  <c r="T14" i="12" s="1"/>
  <c r="K14" i="12"/>
  <c r="L14" i="12" s="1"/>
  <c r="S13" i="12"/>
  <c r="T13" i="12" s="1"/>
  <c r="K13" i="12"/>
  <c r="L13" i="12" s="1"/>
  <c r="S12" i="12"/>
  <c r="T12" i="12" s="1"/>
  <c r="K12" i="12"/>
  <c r="L12" i="12" s="1"/>
  <c r="S11" i="12"/>
  <c r="T11" i="12" s="1"/>
  <c r="K11" i="12"/>
  <c r="L11" i="12" s="1"/>
  <c r="S10" i="12"/>
  <c r="T10" i="12" s="1"/>
  <c r="K10" i="12"/>
  <c r="L10" i="12" s="1"/>
  <c r="S9" i="12"/>
  <c r="T9" i="12" s="1"/>
  <c r="K9" i="12"/>
  <c r="L9" i="12" s="1"/>
  <c r="S8" i="12"/>
  <c r="T8" i="12" s="1"/>
  <c r="R8" i="12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K8" i="12"/>
  <c r="L8" i="12" s="1"/>
  <c r="J8" i="12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S7" i="12"/>
  <c r="T7" i="12" s="1"/>
  <c r="K7" i="12"/>
  <c r="L7" i="12" s="1"/>
  <c r="N7" i="12" s="1"/>
  <c r="Q7" i="12" s="1"/>
  <c r="X49" i="11"/>
  <c r="X48" i="11"/>
  <c r="Y48" i="11" s="1"/>
  <c r="X47" i="11"/>
  <c r="X46" i="11"/>
  <c r="Y46" i="11" s="1"/>
  <c r="X45" i="11"/>
  <c r="Y45" i="11" s="1"/>
  <c r="X44" i="11"/>
  <c r="Y44" i="11" s="1"/>
  <c r="X43" i="11"/>
  <c r="X42" i="11"/>
  <c r="Y42" i="11" s="1"/>
  <c r="X41" i="11"/>
  <c r="Y41" i="11" s="1"/>
  <c r="X40" i="11"/>
  <c r="Y40" i="11" s="1"/>
  <c r="X39" i="11"/>
  <c r="X38" i="11"/>
  <c r="Y38" i="11" s="1"/>
  <c r="AA38" i="11" s="1"/>
  <c r="Z39" i="11" s="1"/>
  <c r="T49" i="11"/>
  <c r="T48" i="11"/>
  <c r="U48" i="11" s="1"/>
  <c r="T47" i="11"/>
  <c r="T46" i="11"/>
  <c r="T45" i="11"/>
  <c r="U45" i="11" s="1"/>
  <c r="T44" i="11"/>
  <c r="U44" i="11" s="1"/>
  <c r="T43" i="11"/>
  <c r="U43" i="11" s="1"/>
  <c r="T42" i="11"/>
  <c r="U42" i="11" s="1"/>
  <c r="T41" i="11"/>
  <c r="U41" i="11" s="1"/>
  <c r="T40" i="11"/>
  <c r="U40" i="11" s="1"/>
  <c r="T39" i="11"/>
  <c r="T38" i="11"/>
  <c r="U38" i="11" s="1"/>
  <c r="W38" i="11" s="1"/>
  <c r="Y49" i="11"/>
  <c r="U49" i="11"/>
  <c r="Y47" i="11"/>
  <c r="U47" i="11"/>
  <c r="U46" i="11"/>
  <c r="Y43" i="11"/>
  <c r="Y39" i="11"/>
  <c r="U39" i="11"/>
  <c r="S39" i="11"/>
  <c r="S40" i="11" s="1"/>
  <c r="S41" i="11" s="1"/>
  <c r="S42" i="11" s="1"/>
  <c r="S43" i="11" s="1"/>
  <c r="S44" i="11" s="1"/>
  <c r="S45" i="11" s="1"/>
  <c r="S46" i="11" s="1"/>
  <c r="S47" i="11" s="1"/>
  <c r="S48" i="11" s="1"/>
  <c r="S49" i="11" s="1"/>
  <c r="O39" i="11"/>
  <c r="P39" i="11" s="1"/>
  <c r="O40" i="11"/>
  <c r="O41" i="11"/>
  <c r="P41" i="11" s="1"/>
  <c r="O42" i="11"/>
  <c r="P42" i="11" s="1"/>
  <c r="O43" i="11"/>
  <c r="P43" i="11" s="1"/>
  <c r="O44" i="11"/>
  <c r="P44" i="11" s="1"/>
  <c r="O45" i="11"/>
  <c r="P45" i="11" s="1"/>
  <c r="O46" i="11"/>
  <c r="P46" i="11" s="1"/>
  <c r="O47" i="11"/>
  <c r="P47" i="11" s="1"/>
  <c r="O48" i="11"/>
  <c r="O49" i="11"/>
  <c r="P49" i="11" s="1"/>
  <c r="O38" i="11"/>
  <c r="P38" i="11" s="1"/>
  <c r="R38" i="11" s="1"/>
  <c r="Q39" i="11" s="1"/>
  <c r="P40" i="11"/>
  <c r="P48" i="11"/>
  <c r="J39" i="1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K47" i="11"/>
  <c r="L47" i="11" s="1"/>
  <c r="K48" i="11"/>
  <c r="L48" i="11" s="1"/>
  <c r="K49" i="11"/>
  <c r="L49" i="11" s="1"/>
  <c r="K38" i="11"/>
  <c r="L38" i="11" s="1"/>
  <c r="N38" i="11" s="1"/>
  <c r="K39" i="11"/>
  <c r="L39" i="11" s="1"/>
  <c r="K40" i="11"/>
  <c r="L40" i="11" s="1"/>
  <c r="K41" i="11"/>
  <c r="L41" i="11" s="1"/>
  <c r="K42" i="11"/>
  <c r="L42" i="11" s="1"/>
  <c r="K43" i="11"/>
  <c r="L43" i="11" s="1"/>
  <c r="K44" i="11"/>
  <c r="L44" i="11" s="1"/>
  <c r="K45" i="11"/>
  <c r="L45" i="11" s="1"/>
  <c r="K46" i="11"/>
  <c r="L46" i="11" s="1"/>
  <c r="AK9" i="11" l="1"/>
  <c r="AJ10" i="11" s="1"/>
  <c r="AG9" i="11"/>
  <c r="AF10" i="11" s="1"/>
  <c r="AC17" i="7"/>
  <c r="AJ17" i="7"/>
  <c r="AJ8" i="7"/>
  <c r="AM8" i="7" s="1"/>
  <c r="AL9" i="7" s="1"/>
  <c r="AD13" i="7"/>
  <c r="AD10" i="7"/>
  <c r="AJ9" i="7"/>
  <c r="AD19" i="7"/>
  <c r="AD11" i="7"/>
  <c r="AK12" i="7"/>
  <c r="AC9" i="7"/>
  <c r="AJ13" i="7"/>
  <c r="AC14" i="7"/>
  <c r="AK19" i="7"/>
  <c r="AK15" i="7"/>
  <c r="AK11" i="7"/>
  <c r="AD12" i="7"/>
  <c r="AC16" i="7"/>
  <c r="AK18" i="7"/>
  <c r="AK14" i="7"/>
  <c r="AK10" i="7"/>
  <c r="AJ12" i="7"/>
  <c r="AC8" i="7"/>
  <c r="AF8" i="7" s="1"/>
  <c r="AE9" i="7" s="1"/>
  <c r="AC12" i="7"/>
  <c r="AD15" i="7"/>
  <c r="L39" i="12"/>
  <c r="M14" i="12"/>
  <c r="K46" i="12" s="1"/>
  <c r="N14" i="12"/>
  <c r="L46" i="12" s="1"/>
  <c r="U10" i="12"/>
  <c r="S42" i="12" s="1"/>
  <c r="V10" i="12"/>
  <c r="T42" i="12" s="1"/>
  <c r="X42" i="12" s="1"/>
  <c r="U14" i="12"/>
  <c r="S46" i="12" s="1"/>
  <c r="V14" i="12"/>
  <c r="T46" i="12" s="1"/>
  <c r="X46" i="12" s="1"/>
  <c r="M8" i="12"/>
  <c r="K40" i="12" s="1"/>
  <c r="N8" i="12"/>
  <c r="L40" i="12" s="1"/>
  <c r="M15" i="12"/>
  <c r="K47" i="12" s="1"/>
  <c r="M47" i="12" s="1"/>
  <c r="N15" i="12"/>
  <c r="L47" i="12" s="1"/>
  <c r="U11" i="12"/>
  <c r="S43" i="12" s="1"/>
  <c r="V11" i="12"/>
  <c r="T43" i="12" s="1"/>
  <c r="X43" i="12" s="1"/>
  <c r="U15" i="12"/>
  <c r="S47" i="12" s="1"/>
  <c r="V15" i="12"/>
  <c r="T47" i="12" s="1"/>
  <c r="X47" i="12" s="1"/>
  <c r="M10" i="12"/>
  <c r="K42" i="12" s="1"/>
  <c r="N10" i="12"/>
  <c r="L42" i="12" s="1"/>
  <c r="M11" i="12"/>
  <c r="K43" i="12" s="1"/>
  <c r="M43" i="12" s="1"/>
  <c r="N11" i="12"/>
  <c r="L43" i="12" s="1"/>
  <c r="U8" i="12"/>
  <c r="S40" i="12" s="1"/>
  <c r="V8" i="12"/>
  <c r="T40" i="12" s="1"/>
  <c r="X40" i="12" s="1"/>
  <c r="M12" i="12"/>
  <c r="K44" i="12" s="1"/>
  <c r="N12" i="12"/>
  <c r="L44" i="12" s="1"/>
  <c r="M16" i="12"/>
  <c r="K48" i="12" s="1"/>
  <c r="N16" i="12"/>
  <c r="L48" i="12" s="1"/>
  <c r="V7" i="12"/>
  <c r="U7" i="12"/>
  <c r="M9" i="12"/>
  <c r="K41" i="12" s="1"/>
  <c r="N9" i="12"/>
  <c r="L41" i="12" s="1"/>
  <c r="U12" i="12"/>
  <c r="S44" i="12" s="1"/>
  <c r="V12" i="12"/>
  <c r="T44" i="12" s="1"/>
  <c r="X44" i="12" s="1"/>
  <c r="U16" i="12"/>
  <c r="S48" i="12" s="1"/>
  <c r="V16" i="12"/>
  <c r="T48" i="12" s="1"/>
  <c r="M13" i="12"/>
  <c r="K45" i="12" s="1"/>
  <c r="M45" i="12" s="1"/>
  <c r="N13" i="12"/>
  <c r="L45" i="12" s="1"/>
  <c r="M17" i="12"/>
  <c r="K49" i="12" s="1"/>
  <c r="N17" i="12"/>
  <c r="L49" i="12" s="1"/>
  <c r="P49" i="12" s="1"/>
  <c r="U9" i="12"/>
  <c r="S41" i="12" s="1"/>
  <c r="V9" i="12"/>
  <c r="T41" i="12" s="1"/>
  <c r="X41" i="12" s="1"/>
  <c r="U13" i="12"/>
  <c r="S45" i="12" s="1"/>
  <c r="V13" i="12"/>
  <c r="T45" i="12" s="1"/>
  <c r="U17" i="12"/>
  <c r="S49" i="12" s="1"/>
  <c r="U49" i="12" s="1"/>
  <c r="V17" i="12"/>
  <c r="T49" i="12" s="1"/>
  <c r="M7" i="12"/>
  <c r="M39" i="11"/>
  <c r="F4" i="8" s="1"/>
  <c r="V39" i="11"/>
  <c r="AA39" i="11"/>
  <c r="Z40" i="11" s="1"/>
  <c r="R39" i="11"/>
  <c r="Q40" i="11" s="1"/>
  <c r="N39" i="11"/>
  <c r="M40" i="11" s="1"/>
  <c r="F5" i="8" s="1"/>
  <c r="K8" i="7"/>
  <c r="L8" i="7" s="1"/>
  <c r="K8" i="6"/>
  <c r="K8" i="11"/>
  <c r="K9" i="7"/>
  <c r="K9" i="6"/>
  <c r="C3" i="8"/>
  <c r="D3" i="8"/>
  <c r="E3" i="8"/>
  <c r="S8" i="7"/>
  <c r="T8" i="7" s="1"/>
  <c r="S9" i="7"/>
  <c r="T9" i="7" s="1"/>
  <c r="U9" i="7" s="1"/>
  <c r="S10" i="7"/>
  <c r="T10" i="7" s="1"/>
  <c r="S11" i="7"/>
  <c r="T11" i="7" s="1"/>
  <c r="U11" i="7" s="1"/>
  <c r="S12" i="7"/>
  <c r="T12" i="7" s="1"/>
  <c r="U12" i="7" s="1"/>
  <c r="S13" i="7"/>
  <c r="T13" i="7" s="1"/>
  <c r="S14" i="7"/>
  <c r="T14" i="7" s="1"/>
  <c r="U14" i="7" s="1"/>
  <c r="S15" i="7"/>
  <c r="T15" i="7" s="1"/>
  <c r="S16" i="7"/>
  <c r="T16" i="7" s="1"/>
  <c r="V16" i="7" s="1"/>
  <c r="S17" i="7"/>
  <c r="T17" i="7" s="1"/>
  <c r="U17" i="7" s="1"/>
  <c r="S18" i="7"/>
  <c r="T18" i="7" s="1"/>
  <c r="L9" i="7"/>
  <c r="K10" i="7"/>
  <c r="L10" i="7" s="1"/>
  <c r="N10" i="7" s="1"/>
  <c r="K11" i="7"/>
  <c r="L11" i="7" s="1"/>
  <c r="K12" i="7"/>
  <c r="L12" i="7" s="1"/>
  <c r="M12" i="7" s="1"/>
  <c r="K13" i="7"/>
  <c r="L13" i="7" s="1"/>
  <c r="N13" i="7" s="1"/>
  <c r="K14" i="7"/>
  <c r="L14" i="7" s="1"/>
  <c r="K15" i="7"/>
  <c r="L15" i="7" s="1"/>
  <c r="N15" i="7" s="1"/>
  <c r="K16" i="7"/>
  <c r="L16" i="7" s="1"/>
  <c r="K17" i="7"/>
  <c r="L17" i="7" s="1"/>
  <c r="K18" i="7"/>
  <c r="L18" i="7" s="1"/>
  <c r="R9" i="7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J9" i="7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H20" i="7"/>
  <c r="G20" i="7"/>
  <c r="F20" i="7"/>
  <c r="E20" i="7"/>
  <c r="D20" i="7"/>
  <c r="C20" i="7"/>
  <c r="S19" i="7"/>
  <c r="K19" i="7"/>
  <c r="T8" i="11"/>
  <c r="U8" i="11" s="1"/>
  <c r="T9" i="11"/>
  <c r="U9" i="11" s="1"/>
  <c r="T10" i="11"/>
  <c r="U10" i="11" s="1"/>
  <c r="T11" i="11"/>
  <c r="U11" i="11" s="1"/>
  <c r="T12" i="11"/>
  <c r="U12" i="11" s="1"/>
  <c r="W12" i="11" s="1"/>
  <c r="T13" i="11"/>
  <c r="U13" i="11" s="1"/>
  <c r="T14" i="11"/>
  <c r="U14" i="11" s="1"/>
  <c r="V14" i="11" s="1"/>
  <c r="T15" i="11"/>
  <c r="U15" i="11" s="1"/>
  <c r="V15" i="11" s="1"/>
  <c r="T16" i="11"/>
  <c r="U16" i="11" s="1"/>
  <c r="T17" i="11"/>
  <c r="U17" i="11" s="1"/>
  <c r="W17" i="11" s="1"/>
  <c r="T18" i="11"/>
  <c r="U18" i="11" s="1"/>
  <c r="V18" i="11" s="1"/>
  <c r="L8" i="11"/>
  <c r="M8" i="11" s="1"/>
  <c r="P8" i="11" s="1"/>
  <c r="O9" i="11" s="1"/>
  <c r="K9" i="11"/>
  <c r="L9" i="11" s="1"/>
  <c r="K10" i="11"/>
  <c r="L10" i="11" s="1"/>
  <c r="K11" i="11"/>
  <c r="L11" i="11" s="1"/>
  <c r="K12" i="11"/>
  <c r="L12" i="11" s="1"/>
  <c r="K13" i="11"/>
  <c r="L13" i="11" s="1"/>
  <c r="K14" i="11"/>
  <c r="L14" i="11" s="1"/>
  <c r="K15" i="11"/>
  <c r="L15" i="11" s="1"/>
  <c r="K16" i="11"/>
  <c r="L16" i="11" s="1"/>
  <c r="K17" i="11"/>
  <c r="L17" i="11" s="1"/>
  <c r="M17" i="11" s="1"/>
  <c r="K18" i="11"/>
  <c r="L18" i="11" s="1"/>
  <c r="S9" i="11"/>
  <c r="S10" i="11" s="1"/>
  <c r="S11" i="11" s="1"/>
  <c r="S12" i="11" s="1"/>
  <c r="S13" i="11" s="1"/>
  <c r="S14" i="11" s="1"/>
  <c r="S15" i="11" s="1"/>
  <c r="S16" i="11" s="1"/>
  <c r="S17" i="11" s="1"/>
  <c r="S18" i="11" s="1"/>
  <c r="S19" i="11" s="1"/>
  <c r="J9" i="11"/>
  <c r="H20" i="11"/>
  <c r="G20" i="11"/>
  <c r="F20" i="11"/>
  <c r="E20" i="11"/>
  <c r="D20" i="11"/>
  <c r="C20" i="11"/>
  <c r="T19" i="11"/>
  <c r="K19" i="11"/>
  <c r="L8" i="6"/>
  <c r="N8" i="6" s="1"/>
  <c r="L9" i="6"/>
  <c r="K10" i="6"/>
  <c r="L10" i="6" s="1"/>
  <c r="K11" i="6"/>
  <c r="L11" i="6"/>
  <c r="K12" i="6"/>
  <c r="L12" i="6" s="1"/>
  <c r="K13" i="6"/>
  <c r="L13" i="6" s="1"/>
  <c r="K14" i="6"/>
  <c r="L14" i="6" s="1"/>
  <c r="K15" i="6"/>
  <c r="L15" i="6" s="1"/>
  <c r="K16" i="6"/>
  <c r="L16" i="6" s="1"/>
  <c r="K17" i="6"/>
  <c r="L17" i="6"/>
  <c r="K18" i="6"/>
  <c r="L18" i="6" s="1"/>
  <c r="B3" i="8"/>
  <c r="P8" i="6"/>
  <c r="Q8" i="6" s="1"/>
  <c r="S8" i="6" s="1"/>
  <c r="R9" i="6" s="1"/>
  <c r="P9" i="6"/>
  <c r="Q9" i="6" s="1"/>
  <c r="P10" i="6"/>
  <c r="Q10" i="6" s="1"/>
  <c r="P11" i="6"/>
  <c r="Q11" i="6" s="1"/>
  <c r="P12" i="6"/>
  <c r="Q12" i="6" s="1"/>
  <c r="P13" i="6"/>
  <c r="Q13" i="6" s="1"/>
  <c r="P14" i="6"/>
  <c r="Q14" i="6" s="1"/>
  <c r="P15" i="6"/>
  <c r="Q15" i="6" s="1"/>
  <c r="P16" i="6"/>
  <c r="Q16" i="6" s="1"/>
  <c r="P17" i="6"/>
  <c r="Q17" i="6" s="1"/>
  <c r="P18" i="6"/>
  <c r="Q18" i="6" s="1"/>
  <c r="O9" i="6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J9" i="6"/>
  <c r="J10" i="6"/>
  <c r="J11" i="6" s="1"/>
  <c r="J12" i="6" s="1"/>
  <c r="J13" i="6" s="1"/>
  <c r="J14" i="6" s="1"/>
  <c r="J15" i="6" s="1"/>
  <c r="J16" i="6" s="1"/>
  <c r="J17" i="6" s="1"/>
  <c r="J18" i="6" s="1"/>
  <c r="J19" i="6" s="1"/>
  <c r="D20" i="6"/>
  <c r="E20" i="6"/>
  <c r="F20" i="6"/>
  <c r="G20" i="6"/>
  <c r="H20" i="6"/>
  <c r="C20" i="6"/>
  <c r="P9" i="2"/>
  <c r="P18" i="2"/>
  <c r="P21" i="2" s="1"/>
  <c r="P17" i="2"/>
  <c r="P10" i="2"/>
  <c r="P11" i="2"/>
  <c r="P12" i="2"/>
  <c r="P13" i="2"/>
  <c r="P14" i="2"/>
  <c r="P15" i="2"/>
  <c r="P16" i="2"/>
  <c r="P8" i="2"/>
  <c r="O9" i="2"/>
  <c r="O18" i="2"/>
  <c r="O17" i="2"/>
  <c r="O10" i="2"/>
  <c r="O11" i="2"/>
  <c r="O12" i="2"/>
  <c r="O13" i="2"/>
  <c r="O14" i="2"/>
  <c r="O15" i="2"/>
  <c r="O16" i="2"/>
  <c r="O8" i="2"/>
  <c r="D20" i="4"/>
  <c r="C20" i="4"/>
  <c r="M15" i="7"/>
  <c r="V17" i="7"/>
  <c r="V13" i="11"/>
  <c r="W13" i="11"/>
  <c r="M14" i="7"/>
  <c r="N14" i="7"/>
  <c r="AK10" i="11" l="1"/>
  <c r="AJ11" i="11" s="1"/>
  <c r="AG10" i="11"/>
  <c r="AF11" i="11" s="1"/>
  <c r="AG11" i="11" s="1"/>
  <c r="AF12" i="11" s="1"/>
  <c r="H3" i="8"/>
  <c r="K3" i="8"/>
  <c r="V11" i="7"/>
  <c r="AG9" i="7"/>
  <c r="AF9" i="7"/>
  <c r="AE10" i="7" s="1"/>
  <c r="V14" i="7"/>
  <c r="AN9" i="7"/>
  <c r="AM9" i="7"/>
  <c r="AL10" i="7" s="1"/>
  <c r="U41" i="12"/>
  <c r="U44" i="12"/>
  <c r="U47" i="12"/>
  <c r="U46" i="12"/>
  <c r="U40" i="12"/>
  <c r="U42" i="12"/>
  <c r="X45" i="12"/>
  <c r="X48" i="12"/>
  <c r="P48" i="12"/>
  <c r="P42" i="12"/>
  <c r="P40" i="12"/>
  <c r="U45" i="12"/>
  <c r="U48" i="12"/>
  <c r="M48" i="12"/>
  <c r="M42" i="12"/>
  <c r="P44" i="12"/>
  <c r="P41" i="12"/>
  <c r="U43" i="12"/>
  <c r="X49" i="12"/>
  <c r="P45" i="12"/>
  <c r="P43" i="12"/>
  <c r="P47" i="12"/>
  <c r="P46" i="12"/>
  <c r="M44" i="12"/>
  <c r="P7" i="12"/>
  <c r="K39" i="12"/>
  <c r="M49" i="12"/>
  <c r="M41" i="12"/>
  <c r="X7" i="12"/>
  <c r="W8" i="12" s="1"/>
  <c r="S39" i="12"/>
  <c r="Y7" i="12"/>
  <c r="T39" i="12"/>
  <c r="M46" i="12"/>
  <c r="M40" i="12"/>
  <c r="O8" i="12"/>
  <c r="E4" i="8"/>
  <c r="R40" i="11"/>
  <c r="Q41" i="11"/>
  <c r="R41" i="11" s="1"/>
  <c r="Q42" i="11" s="1"/>
  <c r="AA40" i="11"/>
  <c r="Z41" i="11" s="1"/>
  <c r="W39" i="11"/>
  <c r="J10" i="11"/>
  <c r="B5" i="8" s="1"/>
  <c r="V10" i="11"/>
  <c r="W10" i="11"/>
  <c r="V12" i="11"/>
  <c r="M3" i="8"/>
  <c r="N8" i="11"/>
  <c r="R8" i="11" s="1"/>
  <c r="Q9" i="11" s="1"/>
  <c r="N40" i="11"/>
  <c r="M41" i="11" s="1"/>
  <c r="J3" i="8"/>
  <c r="M10" i="11"/>
  <c r="N10" i="11"/>
  <c r="U18" i="7"/>
  <c r="V18" i="7"/>
  <c r="N12" i="11"/>
  <c r="M12" i="11"/>
  <c r="M8" i="7"/>
  <c r="P8" i="7" s="1"/>
  <c r="N8" i="7"/>
  <c r="Q8" i="7" s="1"/>
  <c r="T8" i="2"/>
  <c r="U4" i="8"/>
  <c r="O21" i="2"/>
  <c r="S4" i="8" s="1"/>
  <c r="V17" i="11"/>
  <c r="T9" i="2"/>
  <c r="T10" i="2" s="1"/>
  <c r="U8" i="2"/>
  <c r="M11" i="7"/>
  <c r="N11" i="7"/>
  <c r="M16" i="11"/>
  <c r="N16" i="11"/>
  <c r="U8" i="7"/>
  <c r="X8" i="7" s="1"/>
  <c r="V8" i="7"/>
  <c r="Y8" i="7" s="1"/>
  <c r="M9" i="11"/>
  <c r="N9" i="11"/>
  <c r="U10" i="7"/>
  <c r="V10" i="7"/>
  <c r="R8" i="2"/>
  <c r="R9" i="2" s="1"/>
  <c r="R10" i="2" s="1"/>
  <c r="M13" i="11"/>
  <c r="N13" i="11"/>
  <c r="N11" i="11"/>
  <c r="M11" i="11"/>
  <c r="M18" i="11"/>
  <c r="N18" i="11"/>
  <c r="B4" i="8"/>
  <c r="W14" i="11"/>
  <c r="N17" i="11"/>
  <c r="N3" i="8"/>
  <c r="P23" i="2"/>
  <c r="T4" i="8" s="1"/>
  <c r="S9" i="6"/>
  <c r="R10" i="6" s="1"/>
  <c r="R11" i="2"/>
  <c r="S10" i="2"/>
  <c r="S8" i="2"/>
  <c r="W8" i="11"/>
  <c r="AA8" i="11" s="1"/>
  <c r="Z9" i="11" s="1"/>
  <c r="V8" i="11"/>
  <c r="Y8" i="11" s="1"/>
  <c r="N17" i="7"/>
  <c r="M17" i="7"/>
  <c r="V12" i="7"/>
  <c r="N16" i="7"/>
  <c r="M16" i="7"/>
  <c r="U16" i="7"/>
  <c r="V16" i="11"/>
  <c r="W16" i="11"/>
  <c r="M15" i="11"/>
  <c r="N15" i="11"/>
  <c r="U15" i="7"/>
  <c r="V15" i="7"/>
  <c r="S9" i="2"/>
  <c r="N14" i="11"/>
  <c r="M14" i="11"/>
  <c r="W11" i="11"/>
  <c r="V11" i="11"/>
  <c r="N9" i="7"/>
  <c r="M9" i="7"/>
  <c r="V13" i="7"/>
  <c r="U13" i="7"/>
  <c r="U9" i="2"/>
  <c r="W15" i="11"/>
  <c r="V9" i="11"/>
  <c r="W9" i="11"/>
  <c r="M18" i="7"/>
  <c r="N18" i="7"/>
  <c r="M13" i="7"/>
  <c r="O3" i="8"/>
  <c r="W18" i="11"/>
  <c r="N12" i="7"/>
  <c r="M10" i="7"/>
  <c r="V9" i="7"/>
  <c r="M9" i="6"/>
  <c r="I3" i="8"/>
  <c r="AK11" i="11" l="1"/>
  <c r="AJ12" i="11" s="1"/>
  <c r="N41" i="11"/>
  <c r="F6" i="8"/>
  <c r="R9" i="11"/>
  <c r="Q10" i="11" s="1"/>
  <c r="R10" i="11" s="1"/>
  <c r="Q11" i="11" s="1"/>
  <c r="R11" i="11" s="1"/>
  <c r="Q12" i="11" s="1"/>
  <c r="J11" i="11"/>
  <c r="J12" i="11" s="1"/>
  <c r="J13" i="11" s="1"/>
  <c r="AG12" i="11"/>
  <c r="AF13" i="11" s="1"/>
  <c r="AE11" i="7"/>
  <c r="AF10" i="7"/>
  <c r="AG10" i="7"/>
  <c r="AN10" i="7"/>
  <c r="AM10" i="7"/>
  <c r="U39" i="12"/>
  <c r="W39" i="12" s="1"/>
  <c r="V40" i="12"/>
  <c r="M39" i="12"/>
  <c r="O39" i="12" s="1"/>
  <c r="P39" i="12"/>
  <c r="R39" i="12" s="1"/>
  <c r="X39" i="12"/>
  <c r="Z39" i="12" s="1"/>
  <c r="Y8" i="12"/>
  <c r="X8" i="12"/>
  <c r="P8" i="12"/>
  <c r="Q8" i="12"/>
  <c r="P9" i="11"/>
  <c r="O10" i="11" s="1"/>
  <c r="AA41" i="11"/>
  <c r="Z42" i="11" s="1"/>
  <c r="V40" i="11"/>
  <c r="R42" i="11"/>
  <c r="Q43" i="11" s="1"/>
  <c r="X9" i="11"/>
  <c r="O9" i="7"/>
  <c r="P9" i="7" s="1"/>
  <c r="O23" i="2"/>
  <c r="R4" i="8" s="1"/>
  <c r="W9" i="7"/>
  <c r="X9" i="7" s="1"/>
  <c r="U10" i="2"/>
  <c r="T11" i="2"/>
  <c r="S10" i="6"/>
  <c r="R11" i="6" s="1"/>
  <c r="C4" i="8"/>
  <c r="K4" i="8" s="1"/>
  <c r="N9" i="6"/>
  <c r="AA9" i="11"/>
  <c r="Z10" i="11" s="1"/>
  <c r="R12" i="2"/>
  <c r="S11" i="2"/>
  <c r="AK12" i="11" l="1"/>
  <c r="AJ13" i="11" s="1"/>
  <c r="B6" i="8"/>
  <c r="B7" i="8"/>
  <c r="M42" i="11"/>
  <c r="AG13" i="11"/>
  <c r="AF14" i="11" s="1"/>
  <c r="AG11" i="7"/>
  <c r="AF11" i="7"/>
  <c r="Q9" i="7"/>
  <c r="O10" i="7" s="1"/>
  <c r="Q10" i="7" s="1"/>
  <c r="D4" i="8"/>
  <c r="AL11" i="7"/>
  <c r="AN11" i="7"/>
  <c r="AM11" i="7"/>
  <c r="Y40" i="12"/>
  <c r="Q40" i="12"/>
  <c r="N40" i="12"/>
  <c r="O40" i="12" s="1"/>
  <c r="W40" i="12"/>
  <c r="W9" i="12"/>
  <c r="O9" i="12"/>
  <c r="P10" i="11"/>
  <c r="O11" i="11"/>
  <c r="E5" i="8"/>
  <c r="AA42" i="11"/>
  <c r="Z43" i="11"/>
  <c r="W40" i="11"/>
  <c r="R43" i="11"/>
  <c r="U11" i="2"/>
  <c r="T12" i="2"/>
  <c r="Y9" i="7"/>
  <c r="W10" i="7" s="1"/>
  <c r="Y10" i="7" s="1"/>
  <c r="S11" i="6"/>
  <c r="R12" i="6" s="1"/>
  <c r="Y9" i="11"/>
  <c r="P10" i="7"/>
  <c r="D5" i="8"/>
  <c r="M10" i="6"/>
  <c r="J14" i="11"/>
  <c r="B8" i="8"/>
  <c r="AA10" i="11"/>
  <c r="Z11" i="11" s="1"/>
  <c r="R12" i="11"/>
  <c r="Q13" i="11" s="1"/>
  <c r="R13" i="2"/>
  <c r="S12" i="2"/>
  <c r="I4" i="8"/>
  <c r="J4" i="8"/>
  <c r="N4" i="8"/>
  <c r="M4" i="8"/>
  <c r="O4" i="8"/>
  <c r="H4" i="8"/>
  <c r="AK13" i="11" l="1"/>
  <c r="AJ14" i="11" s="1"/>
  <c r="F7" i="8"/>
  <c r="N42" i="11"/>
  <c r="Q44" i="11"/>
  <c r="AG14" i="11"/>
  <c r="AF15" i="11" s="1"/>
  <c r="O11" i="7"/>
  <c r="D6" i="8" s="1"/>
  <c r="AE12" i="7"/>
  <c r="AF12" i="7"/>
  <c r="AG12" i="7"/>
  <c r="AL12" i="7"/>
  <c r="AN12" i="7" s="1"/>
  <c r="AM12" i="7"/>
  <c r="N41" i="12"/>
  <c r="O41" i="12" s="1"/>
  <c r="N42" i="12" s="1"/>
  <c r="O42" i="12" s="1"/>
  <c r="N43" i="12" s="1"/>
  <c r="O43" i="12" s="1"/>
  <c r="N44" i="12" s="1"/>
  <c r="O44" i="12" s="1"/>
  <c r="N45" i="12" s="1"/>
  <c r="O45" i="12" s="1"/>
  <c r="N46" i="12" s="1"/>
  <c r="N51" i="12" s="1"/>
  <c r="R40" i="12"/>
  <c r="Q41" i="12" s="1"/>
  <c r="V41" i="12"/>
  <c r="Z40" i="12"/>
  <c r="Q9" i="12"/>
  <c r="P9" i="12"/>
  <c r="O10" i="12" s="1"/>
  <c r="Y9" i="12"/>
  <c r="X9" i="12"/>
  <c r="P11" i="11"/>
  <c r="E6" i="8"/>
  <c r="AA43" i="11"/>
  <c r="Z44" i="11" s="1"/>
  <c r="V41" i="11"/>
  <c r="R44" i="11"/>
  <c r="Q45" i="11" s="1"/>
  <c r="X10" i="11"/>
  <c r="Y10" i="11" s="1"/>
  <c r="X10" i="7"/>
  <c r="W11" i="7" s="1"/>
  <c r="T13" i="2"/>
  <c r="U12" i="2"/>
  <c r="AA11" i="11"/>
  <c r="Z12" i="11" s="1"/>
  <c r="J15" i="11"/>
  <c r="B9" i="8"/>
  <c r="S12" i="6"/>
  <c r="R13" i="6"/>
  <c r="C5" i="8"/>
  <c r="K5" i="8" s="1"/>
  <c r="N10" i="6"/>
  <c r="R14" i="2"/>
  <c r="S13" i="2"/>
  <c r="R13" i="11"/>
  <c r="Q14" i="11" s="1"/>
  <c r="AK14" i="11" l="1"/>
  <c r="AJ15" i="11" s="1"/>
  <c r="M43" i="11"/>
  <c r="AG15" i="11"/>
  <c r="AF16" i="11" s="1"/>
  <c r="AL13" i="7"/>
  <c r="AN13" i="7" s="1"/>
  <c r="AE13" i="7"/>
  <c r="Q11" i="7"/>
  <c r="P11" i="7"/>
  <c r="AG13" i="7"/>
  <c r="AF13" i="7"/>
  <c r="O12" i="7"/>
  <c r="D7" i="8" s="1"/>
  <c r="AM13" i="7"/>
  <c r="R41" i="12"/>
  <c r="Q42" i="12" s="1"/>
  <c r="W41" i="12"/>
  <c r="V42" i="12"/>
  <c r="W42" i="12" s="1"/>
  <c r="V43" i="12" s="1"/>
  <c r="W43" i="12" s="1"/>
  <c r="V44" i="12" s="1"/>
  <c r="W44" i="12" s="1"/>
  <c r="V45" i="12" s="1"/>
  <c r="W45" i="12" s="1"/>
  <c r="W10" i="12"/>
  <c r="X10" i="12" s="1"/>
  <c r="Y41" i="12"/>
  <c r="N52" i="12"/>
  <c r="O46" i="12"/>
  <c r="N47" i="12" s="1"/>
  <c r="Q10" i="12"/>
  <c r="P10" i="12"/>
  <c r="O12" i="11"/>
  <c r="AA44" i="11"/>
  <c r="Z45" i="11" s="1"/>
  <c r="W41" i="11"/>
  <c r="V42" i="11" s="1"/>
  <c r="R45" i="11"/>
  <c r="Q46" i="11" s="1"/>
  <c r="X11" i="11"/>
  <c r="T14" i="2"/>
  <c r="U13" i="2"/>
  <c r="R14" i="11"/>
  <c r="Q15" i="11" s="1"/>
  <c r="AA12" i="11"/>
  <c r="Z13" i="11" s="1"/>
  <c r="J5" i="8"/>
  <c r="N5" i="8"/>
  <c r="O5" i="8"/>
  <c r="H5" i="8"/>
  <c r="I5" i="8"/>
  <c r="M5" i="8"/>
  <c r="S14" i="2"/>
  <c r="R15" i="2"/>
  <c r="S13" i="6"/>
  <c r="R14" i="6"/>
  <c r="J16" i="11"/>
  <c r="B10" i="8"/>
  <c r="Y11" i="7"/>
  <c r="X11" i="7"/>
  <c r="M11" i="6"/>
  <c r="AK15" i="11" l="1"/>
  <c r="AJ16" i="11" s="1"/>
  <c r="F8" i="8"/>
  <c r="N43" i="11"/>
  <c r="AG16" i="11"/>
  <c r="AF17" i="11" s="1"/>
  <c r="AL14" i="7"/>
  <c r="AM14" i="7" s="1"/>
  <c r="Q12" i="7"/>
  <c r="P12" i="7"/>
  <c r="O13" i="7" s="1"/>
  <c r="AE14" i="7"/>
  <c r="R42" i="12"/>
  <c r="Q43" i="12" s="1"/>
  <c r="R43" i="12" s="1"/>
  <c r="Q44" i="12" s="1"/>
  <c r="R44" i="12" s="1"/>
  <c r="Q45" i="12" s="1"/>
  <c r="R45" i="12" s="1"/>
  <c r="Q46" i="12" s="1"/>
  <c r="R46" i="12" s="1"/>
  <c r="Q47" i="12" s="1"/>
  <c r="Z41" i="12"/>
  <c r="Y42" i="12" s="1"/>
  <c r="Z42" i="12" s="1"/>
  <c r="Y43" i="12" s="1"/>
  <c r="Z43" i="12" s="1"/>
  <c r="Y44" i="12" s="1"/>
  <c r="V46" i="12"/>
  <c r="V51" i="12" s="1"/>
  <c r="V52" i="12"/>
  <c r="Y10" i="12"/>
  <c r="W11" i="12" s="1"/>
  <c r="Y11" i="12" s="1"/>
  <c r="O11" i="12"/>
  <c r="Q11" i="12" s="1"/>
  <c r="O47" i="12"/>
  <c r="N48" i="12"/>
  <c r="P12" i="11"/>
  <c r="E7" i="8"/>
  <c r="O13" i="11"/>
  <c r="W42" i="11"/>
  <c r="V43" i="11" s="1"/>
  <c r="AA45" i="11"/>
  <c r="Z46" i="11" s="1"/>
  <c r="R46" i="11"/>
  <c r="Q47" i="11" s="1"/>
  <c r="T15" i="2"/>
  <c r="U14" i="2"/>
  <c r="Y11" i="11"/>
  <c r="B11" i="8"/>
  <c r="J17" i="11"/>
  <c r="W12" i="7"/>
  <c r="S15" i="2"/>
  <c r="R16" i="2"/>
  <c r="R15" i="11"/>
  <c r="Q16" i="11" s="1"/>
  <c r="S14" i="6"/>
  <c r="R21" i="6" s="1"/>
  <c r="AA13" i="11"/>
  <c r="Z14" i="11" s="1"/>
  <c r="C6" i="8"/>
  <c r="K6" i="8" s="1"/>
  <c r="N11" i="6"/>
  <c r="M12" i="6" s="1"/>
  <c r="AK16" i="11" l="1"/>
  <c r="AJ17" i="11" s="1"/>
  <c r="M44" i="11"/>
  <c r="AG17" i="11"/>
  <c r="AF18" i="11"/>
  <c r="AG18" i="11" s="1"/>
  <c r="AN14" i="7"/>
  <c r="AL15" i="7" s="1"/>
  <c r="Q13" i="7"/>
  <c r="D8" i="8"/>
  <c r="P13" i="7"/>
  <c r="AF14" i="7"/>
  <c r="AG14" i="7"/>
  <c r="Z44" i="12"/>
  <c r="Y45" i="12" s="1"/>
  <c r="Z45" i="12" s="1"/>
  <c r="Y46" i="12" s="1"/>
  <c r="R47" i="12"/>
  <c r="Q48" i="12" s="1"/>
  <c r="R48" i="12" s="1"/>
  <c r="Q49" i="12" s="1"/>
  <c r="R49" i="12" s="1"/>
  <c r="W46" i="12"/>
  <c r="P11" i="12"/>
  <c r="O12" i="12" s="1"/>
  <c r="Q12" i="12" s="1"/>
  <c r="O48" i="12"/>
  <c r="N49" i="12" s="1"/>
  <c r="O49" i="12" s="1"/>
  <c r="O51" i="12" s="1"/>
  <c r="X11" i="12"/>
  <c r="W12" i="12" s="1"/>
  <c r="X12" i="12" s="1"/>
  <c r="P12" i="12"/>
  <c r="P13" i="11"/>
  <c r="O14" i="11" s="1"/>
  <c r="E8" i="8"/>
  <c r="AA46" i="11"/>
  <c r="Z47" i="11" s="1"/>
  <c r="W43" i="11"/>
  <c r="V44" i="11" s="1"/>
  <c r="R47" i="11"/>
  <c r="Q48" i="11" s="1"/>
  <c r="X12" i="11"/>
  <c r="R15" i="6"/>
  <c r="U15" i="2"/>
  <c r="T16" i="2"/>
  <c r="AA14" i="11"/>
  <c r="Z15" i="11" s="1"/>
  <c r="C7" i="8"/>
  <c r="K7" i="8" s="1"/>
  <c r="N12" i="6"/>
  <c r="R20" i="6"/>
  <c r="S15" i="6"/>
  <c r="R16" i="6" s="1"/>
  <c r="R16" i="11"/>
  <c r="Q17" i="11" s="1"/>
  <c r="X12" i="7"/>
  <c r="Y12" i="7"/>
  <c r="W13" i="7"/>
  <c r="I6" i="8"/>
  <c r="M6" i="8"/>
  <c r="J6" i="8"/>
  <c r="N6" i="8"/>
  <c r="O6" i="8"/>
  <c r="H6" i="8"/>
  <c r="R17" i="2"/>
  <c r="S17" i="2" s="1"/>
  <c r="S16" i="2"/>
  <c r="J18" i="11"/>
  <c r="B12" i="8"/>
  <c r="AK17" i="11" l="1"/>
  <c r="AJ18" i="11" s="1"/>
  <c r="F9" i="8"/>
  <c r="N44" i="11"/>
  <c r="M51" i="11" s="1"/>
  <c r="AN15" i="7"/>
  <c r="AM15" i="7"/>
  <c r="AL16" i="7" s="1"/>
  <c r="AE15" i="7"/>
  <c r="O14" i="7"/>
  <c r="R51" i="12"/>
  <c r="V47" i="12"/>
  <c r="W47" i="12" s="1"/>
  <c r="V48" i="12" s="1"/>
  <c r="W48" i="12" s="1"/>
  <c r="V49" i="12" s="1"/>
  <c r="W49" i="12" s="1"/>
  <c r="Z46" i="12"/>
  <c r="Y47" i="12" s="1"/>
  <c r="Y12" i="12"/>
  <c r="W13" i="12" s="1"/>
  <c r="Y13" i="12" s="1"/>
  <c r="O13" i="12"/>
  <c r="P13" i="12" s="1"/>
  <c r="O20" i="12" s="1"/>
  <c r="E9" i="8"/>
  <c r="P14" i="11"/>
  <c r="O21" i="11" s="1"/>
  <c r="R7" i="8" s="1"/>
  <c r="W44" i="11"/>
  <c r="V51" i="11" s="1"/>
  <c r="AA47" i="11"/>
  <c r="Z48" i="11" s="1"/>
  <c r="R48" i="11"/>
  <c r="Y12" i="11"/>
  <c r="T17" i="2"/>
  <c r="U17" i="2" s="1"/>
  <c r="U16" i="2"/>
  <c r="S16" i="6"/>
  <c r="R17" i="6" s="1"/>
  <c r="M13" i="6"/>
  <c r="J7" i="8"/>
  <c r="H7" i="8"/>
  <c r="N7" i="8"/>
  <c r="M7" i="8"/>
  <c r="I7" i="8"/>
  <c r="O7" i="8"/>
  <c r="R17" i="11"/>
  <c r="Q18" i="11" s="1"/>
  <c r="B13" i="8"/>
  <c r="J19" i="11"/>
  <c r="B14" i="8" s="1"/>
  <c r="Y13" i="7"/>
  <c r="X13" i="7"/>
  <c r="AA15" i="11"/>
  <c r="Z16" i="11" s="1"/>
  <c r="AK18" i="11" l="1"/>
  <c r="AJ19" i="11" s="1"/>
  <c r="AK19" i="11" s="1"/>
  <c r="M45" i="11"/>
  <c r="Q49" i="11"/>
  <c r="R49" i="11" s="1"/>
  <c r="R50" i="11"/>
  <c r="AN16" i="7"/>
  <c r="AL17" i="7" s="1"/>
  <c r="AN17" i="7" s="1"/>
  <c r="AM16" i="7"/>
  <c r="D9" i="8"/>
  <c r="P14" i="7"/>
  <c r="Q14" i="7"/>
  <c r="AE20" i="7"/>
  <c r="AG15" i="7"/>
  <c r="AF15" i="7"/>
  <c r="Z47" i="12"/>
  <c r="Y48" i="12"/>
  <c r="W51" i="12"/>
  <c r="Q13" i="12"/>
  <c r="X13" i="12"/>
  <c r="W20" i="12" s="1"/>
  <c r="O14" i="12"/>
  <c r="Q14" i="12" s="1"/>
  <c r="O19" i="12"/>
  <c r="P14" i="12"/>
  <c r="O15" i="11"/>
  <c r="V45" i="11"/>
  <c r="W45" i="11" s="1"/>
  <c r="V46" i="11" s="1"/>
  <c r="AA48" i="11"/>
  <c r="X13" i="11"/>
  <c r="R18" i="11"/>
  <c r="Q19" i="11" s="1"/>
  <c r="C8" i="8"/>
  <c r="K8" i="8" s="1"/>
  <c r="N13" i="6"/>
  <c r="M14" i="6" s="1"/>
  <c r="W14" i="7"/>
  <c r="S17" i="6"/>
  <c r="R18" i="6" s="1"/>
  <c r="AA16" i="11"/>
  <c r="Z17" i="11"/>
  <c r="Z49" i="11" l="1"/>
  <c r="AA49" i="11" s="1"/>
  <c r="AA50" i="11"/>
  <c r="M50" i="11"/>
  <c r="F10" i="8"/>
  <c r="N45" i="11"/>
  <c r="M46" i="11" s="1"/>
  <c r="AE16" i="7"/>
  <c r="AE17" i="7" s="1"/>
  <c r="AM17" i="7"/>
  <c r="AL18" i="7" s="1"/>
  <c r="AN18" i="7" s="1"/>
  <c r="AF16" i="7"/>
  <c r="AG16" i="7"/>
  <c r="O15" i="7"/>
  <c r="O21" i="7"/>
  <c r="R6" i="8" s="1"/>
  <c r="Z48" i="12"/>
  <c r="Y49" i="12"/>
  <c r="Z49" i="12" s="1"/>
  <c r="Z51" i="12" s="1"/>
  <c r="W14" i="12"/>
  <c r="W19" i="12"/>
  <c r="Y14" i="12"/>
  <c r="X14" i="12"/>
  <c r="O15" i="12"/>
  <c r="P15" i="11"/>
  <c r="O20" i="11"/>
  <c r="S7" i="8" s="1"/>
  <c r="E10" i="8"/>
  <c r="O16" i="11"/>
  <c r="V50" i="11"/>
  <c r="W46" i="11"/>
  <c r="V47" i="11" s="1"/>
  <c r="O27" i="11"/>
  <c r="Y13" i="11"/>
  <c r="S18" i="6"/>
  <c r="S20" i="6" s="1"/>
  <c r="R19" i="6"/>
  <c r="P25" i="6" s="1"/>
  <c r="N14" i="6"/>
  <c r="M21" i="6" s="1"/>
  <c r="R5" i="8" s="1"/>
  <c r="M15" i="6"/>
  <c r="C9" i="8"/>
  <c r="K9" i="8" s="1"/>
  <c r="X14" i="7"/>
  <c r="W21" i="7" s="1"/>
  <c r="Y14" i="7"/>
  <c r="W15" i="7"/>
  <c r="M8" i="8"/>
  <c r="N8" i="8"/>
  <c r="I8" i="8"/>
  <c r="J8" i="8"/>
  <c r="O8" i="8"/>
  <c r="H8" i="8"/>
  <c r="AA17" i="11"/>
  <c r="F11" i="8" l="1"/>
  <c r="N46" i="11"/>
  <c r="M47" i="11" s="1"/>
  <c r="AE18" i="7"/>
  <c r="AF17" i="7"/>
  <c r="AG17" i="7"/>
  <c r="AM18" i="7"/>
  <c r="AL19" i="7" s="1"/>
  <c r="AM19" i="7" s="1"/>
  <c r="O20" i="7"/>
  <c r="S6" i="8" s="1"/>
  <c r="Q15" i="7"/>
  <c r="P15" i="7"/>
  <c r="O16" i="7" s="1"/>
  <c r="D10" i="8"/>
  <c r="P15" i="12"/>
  <c r="Q15" i="12"/>
  <c r="O16" i="12" s="1"/>
  <c r="W15" i="12"/>
  <c r="P16" i="11"/>
  <c r="E11" i="8"/>
  <c r="O17" i="11"/>
  <c r="W47" i="11"/>
  <c r="V48" i="11" s="1"/>
  <c r="X14" i="11"/>
  <c r="T5" i="8"/>
  <c r="T6" i="8"/>
  <c r="Z18" i="11"/>
  <c r="N9" i="8"/>
  <c r="M9" i="8"/>
  <c r="J9" i="8"/>
  <c r="H9" i="8"/>
  <c r="O9" i="8"/>
  <c r="I9" i="8"/>
  <c r="W20" i="7"/>
  <c r="X15" i="7"/>
  <c r="Y15" i="7"/>
  <c r="M20" i="6"/>
  <c r="S5" i="8" s="1"/>
  <c r="C10" i="8"/>
  <c r="K10" i="8" s="1"/>
  <c r="N15" i="6"/>
  <c r="M16" i="6" s="1"/>
  <c r="F12" i="8" l="1"/>
  <c r="N47" i="11"/>
  <c r="M48" i="11" s="1"/>
  <c r="AN19" i="7"/>
  <c r="Q16" i="7"/>
  <c r="D11" i="8"/>
  <c r="P16" i="7"/>
  <c r="O17" i="7" s="1"/>
  <c r="AF18" i="7"/>
  <c r="AG18" i="7"/>
  <c r="Q16" i="12"/>
  <c r="P16" i="12"/>
  <c r="Y15" i="12"/>
  <c r="X15" i="12"/>
  <c r="W16" i="12" s="1"/>
  <c r="P17" i="11"/>
  <c r="E12" i="8"/>
  <c r="O18" i="11"/>
  <c r="W48" i="11"/>
  <c r="Y14" i="11"/>
  <c r="U6" i="8"/>
  <c r="U5" i="8"/>
  <c r="I10" i="8"/>
  <c r="O10" i="8"/>
  <c r="J10" i="8"/>
  <c r="M10" i="8"/>
  <c r="N10" i="8"/>
  <c r="H10" i="8"/>
  <c r="AA18" i="11"/>
  <c r="O28" i="11" s="1"/>
  <c r="C11" i="8"/>
  <c r="K11" i="8" s="1"/>
  <c r="N16" i="6"/>
  <c r="M17" i="6" s="1"/>
  <c r="W16" i="7"/>
  <c r="V49" i="11" l="1"/>
  <c r="W50" i="11"/>
  <c r="F13" i="8"/>
  <c r="N48" i="11"/>
  <c r="AE19" i="7"/>
  <c r="AG19" i="7" s="1"/>
  <c r="P17" i="7"/>
  <c r="D12" i="8"/>
  <c r="Q17" i="7"/>
  <c r="O17" i="12"/>
  <c r="Y16" i="12"/>
  <c r="X16" i="12"/>
  <c r="W17" i="12" s="1"/>
  <c r="Q17" i="12"/>
  <c r="P26" i="12" s="1"/>
  <c r="P17" i="12"/>
  <c r="P18" i="11"/>
  <c r="O24" i="11" s="1"/>
  <c r="E13" i="8"/>
  <c r="O19" i="11"/>
  <c r="X21" i="11"/>
  <c r="T7" i="8" s="1"/>
  <c r="X15" i="11"/>
  <c r="C12" i="8"/>
  <c r="K12" i="8" s="1"/>
  <c r="N17" i="6"/>
  <c r="M18" i="6" s="1"/>
  <c r="H11" i="8"/>
  <c r="J11" i="8"/>
  <c r="I11" i="8"/>
  <c r="O11" i="8"/>
  <c r="M11" i="8"/>
  <c r="N11" i="8"/>
  <c r="Z19" i="11"/>
  <c r="X16" i="7"/>
  <c r="Y16" i="7"/>
  <c r="M49" i="11" l="1"/>
  <c r="F14" i="8" s="1"/>
  <c r="N50" i="11"/>
  <c r="P20" i="11"/>
  <c r="AF19" i="7"/>
  <c r="O18" i="7"/>
  <c r="P18" i="7"/>
  <c r="Q18" i="7"/>
  <c r="P27" i="7" s="1"/>
  <c r="D13" i="8"/>
  <c r="Y17" i="12"/>
  <c r="P27" i="12" s="1"/>
  <c r="X17" i="12"/>
  <c r="W18" i="12" s="1"/>
  <c r="P19" i="12"/>
  <c r="P23" i="12"/>
  <c r="O18" i="12"/>
  <c r="E14" i="8"/>
  <c r="O31" i="11"/>
  <c r="Y15" i="11"/>
  <c r="X20" i="11"/>
  <c r="U7" i="8" s="1"/>
  <c r="N18" i="6"/>
  <c r="N20" i="6" s="1"/>
  <c r="C13" i="8"/>
  <c r="K13" i="8" s="1"/>
  <c r="P20" i="7"/>
  <c r="W17" i="7"/>
  <c r="H12" i="8"/>
  <c r="O12" i="8"/>
  <c r="N12" i="8"/>
  <c r="I12" i="8"/>
  <c r="J12" i="8"/>
  <c r="M12" i="8"/>
  <c r="O19" i="7" l="1"/>
  <c r="D14" i="8" s="1"/>
  <c r="P24" i="7"/>
  <c r="P31" i="12"/>
  <c r="Y18" i="12"/>
  <c r="Y19" i="12" s="1"/>
  <c r="Q18" i="12"/>
  <c r="Q19" i="12" s="1"/>
  <c r="P30" i="12"/>
  <c r="X19" i="12"/>
  <c r="P24" i="12"/>
  <c r="X16" i="11"/>
  <c r="M19" i="6"/>
  <c r="C14" i="8"/>
  <c r="K14" i="8" s="1"/>
  <c r="P24" i="6"/>
  <c r="X17" i="7"/>
  <c r="Y17" i="7"/>
  <c r="H13" i="8"/>
  <c r="O13" i="8"/>
  <c r="M13" i="8"/>
  <c r="I13" i="8"/>
  <c r="J13" i="8"/>
  <c r="N13" i="8"/>
  <c r="P31" i="7" l="1"/>
  <c r="Q19" i="7"/>
  <c r="Q20" i="7" s="1"/>
  <c r="W18" i="7"/>
  <c r="Y16" i="11"/>
  <c r="Y18" i="7"/>
  <c r="P28" i="7" s="1"/>
  <c r="X18" i="7"/>
  <c r="J14" i="8"/>
  <c r="M14" i="8"/>
  <c r="O14" i="8"/>
  <c r="I14" i="8"/>
  <c r="N14" i="8"/>
  <c r="H14" i="8"/>
  <c r="X17" i="11" l="1"/>
  <c r="W19" i="7"/>
  <c r="X20" i="7"/>
  <c r="P25" i="7"/>
  <c r="Y17" i="11" l="1"/>
  <c r="P32" i="7"/>
  <c r="Y19" i="7"/>
  <c r="Y20" i="7" s="1"/>
  <c r="X18" i="11" l="1"/>
  <c r="Y18" i="11" l="1"/>
  <c r="X19" i="11" s="1"/>
  <c r="O32" i="11" s="1"/>
  <c r="Y20" i="11" l="1"/>
  <c r="O25" i="11"/>
</calcChain>
</file>

<file path=xl/sharedStrings.xml><?xml version="1.0" encoding="utf-8"?>
<sst xmlns="http://schemas.openxmlformats.org/spreadsheetml/2006/main" count="767" uniqueCount="246">
  <si>
    <t>Année</t>
  </si>
  <si>
    <t>Age</t>
  </si>
  <si>
    <t>Les</t>
  </si>
  <si>
    <t>Sexe masculin</t>
  </si>
  <si>
    <t>Sexe féminin</t>
  </si>
  <si>
    <t>de</t>
  </si>
  <si>
    <t>deux</t>
  </si>
  <si>
    <t>Céliba-</t>
  </si>
  <si>
    <t>naissance</t>
  </si>
  <si>
    <t>sexes</t>
  </si>
  <si>
    <t>Total</t>
  </si>
  <si>
    <t>taires</t>
  </si>
  <si>
    <t>Mariés</t>
  </si>
  <si>
    <t>Veufs</t>
  </si>
  <si>
    <t>Divorcés</t>
  </si>
  <si>
    <t>Mariées</t>
  </si>
  <si>
    <t>Veuves</t>
  </si>
  <si>
    <t>Divorcées</t>
  </si>
  <si>
    <t>Moins d'un an</t>
  </si>
  <si>
    <t>1 à 4 ans</t>
  </si>
  <si>
    <t>5 à 9 ans</t>
  </si>
  <si>
    <t>10 à 14 ans</t>
  </si>
  <si>
    <t>15 à 19 ans</t>
  </si>
  <si>
    <t>20 à 24 ans</t>
  </si>
  <si>
    <t>25 à 29 ans</t>
  </si>
  <si>
    <t>30 à 34 ans</t>
  </si>
  <si>
    <t>95 à 99 ans</t>
  </si>
  <si>
    <t>Ensemble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</si>
  <si>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</si>
  <si>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</si>
  <si>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</si>
  <si>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</si>
  <si>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</si>
  <si>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</si>
  <si>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</si>
  <si>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</si>
  <si>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</si>
  <si>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</si>
  <si>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90 à 94 ans</t>
  </si>
  <si>
    <t>85 à 89 ans</t>
  </si>
  <si>
    <t>100 ans et +</t>
  </si>
  <si>
    <t>révolues</t>
  </si>
  <si>
    <t>TABLEAU 72 - DECES PAR SEXE, GROUPE D'AGES EN ANNEES REVOLUES ET ETAT MATRIMONIAL DU DECEDE</t>
  </si>
  <si>
    <t xml:space="preserve">Evaluation basée sur les résultats du recensement de 1999 </t>
  </si>
  <si>
    <t>Célibataires</t>
  </si>
  <si>
    <t xml:space="preserve">moins d'un an </t>
  </si>
  <si>
    <t xml:space="preserve">de  1 à   4 ans </t>
  </si>
  <si>
    <t xml:space="preserve">de  5 à   9 ans </t>
  </si>
  <si>
    <t xml:space="preserve">de 10 à  14 ans </t>
  </si>
  <si>
    <t xml:space="preserve">de 15 à  19 ans </t>
  </si>
  <si>
    <t xml:space="preserve">de 20 à  24 ans </t>
  </si>
  <si>
    <t xml:space="preserve">de 25 à  29 ans </t>
  </si>
  <si>
    <t xml:space="preserve">de 30 à  34 ans </t>
  </si>
  <si>
    <t xml:space="preserve">de 35 à  39 ans </t>
  </si>
  <si>
    <t xml:space="preserve">de 40 à  44 ans </t>
  </si>
  <si>
    <t xml:space="preserve">de 45 à  49 ans </t>
  </si>
  <si>
    <t xml:space="preserve">de 50 à  54 ans </t>
  </si>
  <si>
    <t xml:space="preserve">de 55 à  59 ans </t>
  </si>
  <si>
    <t xml:space="preserve">de 60 à  64 ans </t>
  </si>
  <si>
    <t xml:space="preserve">de 65 à  69 ans </t>
  </si>
  <si>
    <t xml:space="preserve">de 70 à  74 ans </t>
  </si>
  <si>
    <t xml:space="preserve">de 75 à  79 ans </t>
  </si>
  <si>
    <t xml:space="preserve">de 80 à  84 ans </t>
  </si>
  <si>
    <t xml:space="preserve">de 85 à  89 ans </t>
  </si>
  <si>
    <t xml:space="preserve">de 90 à  94 ans </t>
  </si>
  <si>
    <t xml:space="preserve">de 95 à  99 ans </t>
  </si>
  <si>
    <t xml:space="preserve">de 100 ans et + </t>
  </si>
  <si>
    <t>en années</t>
  </si>
  <si>
    <t xml:space="preserve">Année 2001 </t>
  </si>
  <si>
    <t>15-19</t>
  </si>
  <si>
    <t>20-24</t>
  </si>
  <si>
    <t>25-29</t>
  </si>
  <si>
    <t>30-34</t>
  </si>
  <si>
    <t>35-39</t>
  </si>
  <si>
    <t>40-44</t>
  </si>
  <si>
    <t>45-49</t>
  </si>
  <si>
    <t xml:space="preserve">2001 </t>
  </si>
  <si>
    <t xml:space="preserve">2000-1997 </t>
  </si>
  <si>
    <t xml:space="preserve">1996-1992 </t>
  </si>
  <si>
    <t xml:space="preserve">1991-1987 </t>
  </si>
  <si>
    <t xml:space="preserve">1986-1982 </t>
  </si>
  <si>
    <t xml:space="preserve">1981-1977 </t>
  </si>
  <si>
    <t xml:space="preserve">1976-1972 </t>
  </si>
  <si>
    <t xml:space="preserve">1971-1967 </t>
  </si>
  <si>
    <t xml:space="preserve">1966-1962 </t>
  </si>
  <si>
    <t xml:space="preserve">1961-1957 </t>
  </si>
  <si>
    <t xml:space="preserve">1956-1952 </t>
  </si>
  <si>
    <t xml:space="preserve">1951-1947 </t>
  </si>
  <si>
    <t xml:space="preserve">1946-1942 </t>
  </si>
  <si>
    <t xml:space="preserve">1941-1937 </t>
  </si>
  <si>
    <t xml:space="preserve">1936-1932 </t>
  </si>
  <si>
    <t xml:space="preserve">1931-1927 </t>
  </si>
  <si>
    <t xml:space="preserve">1926-1922 </t>
  </si>
  <si>
    <t xml:space="preserve">1921-1917 </t>
  </si>
  <si>
    <t xml:space="preserve">1916-1912 </t>
  </si>
  <si>
    <t xml:space="preserve">1911-1907 </t>
  </si>
  <si>
    <t xml:space="preserve">1906-1902 </t>
  </si>
  <si>
    <t xml:space="preserve">1901 et avant </t>
  </si>
  <si>
    <t>TABLEAU 7 bis - POPULATION MOYENNE PAR SEXE, AGE ET ETAT MATRIMONIAL EN 2001</t>
  </si>
  <si>
    <t xml:space="preserve">2001 - 2000 </t>
  </si>
  <si>
    <t xml:space="preserve">2000 - 1996 </t>
  </si>
  <si>
    <t xml:space="preserve">1996 - 1992 </t>
  </si>
  <si>
    <t xml:space="preserve">1991 - 1987 </t>
  </si>
  <si>
    <t xml:space="preserve">1986 - 1982 </t>
  </si>
  <si>
    <t xml:space="preserve">1981 - 1977 </t>
  </si>
  <si>
    <t xml:space="preserve">1976 - 1972 </t>
  </si>
  <si>
    <t xml:space="preserve">1971 - 1967 </t>
  </si>
  <si>
    <t xml:space="preserve">1966 - 1962 </t>
  </si>
  <si>
    <t xml:space="preserve">1961 - 1957 </t>
  </si>
  <si>
    <t xml:space="preserve">1956 - 1952 </t>
  </si>
  <si>
    <t xml:space="preserve">1951 - 1947 </t>
  </si>
  <si>
    <t xml:space="preserve">1946 - 1942 </t>
  </si>
  <si>
    <t xml:space="preserve">1941 - 1937 </t>
  </si>
  <si>
    <t xml:space="preserve">1936 - 1932 </t>
  </si>
  <si>
    <t xml:space="preserve">1931 - 1927 </t>
  </si>
  <si>
    <t xml:space="preserve">1926 - 1922 </t>
  </si>
  <si>
    <t xml:space="preserve">1921 - 1917 </t>
  </si>
  <si>
    <t xml:space="preserve">1916 - 1912 </t>
  </si>
  <si>
    <t xml:space="preserve">1911 - 1907 </t>
  </si>
  <si>
    <t xml:space="preserve">1906 - 1902 </t>
  </si>
  <si>
    <t xml:space="preserve">1901 et av. </t>
  </si>
  <si>
    <t xml:space="preserve">70 ans et plus </t>
  </si>
  <si>
    <t xml:space="preserve">1931 et avant </t>
  </si>
  <si>
    <t>2. Présentez graphiquement le nombre d'années vécues en état de célibat entre la naissance et le 50e anniversaires par des personnes non célibataires</t>
  </si>
  <si>
    <t>Hommes</t>
  </si>
  <si>
    <t>Femmes</t>
  </si>
  <si>
    <t>Estimé à partir du TABLEAU 17 - MARIAGES PAR ANNEE DE NAISSANCE, AGE ET ETAT MATRIMONIAL ANTERIEUR DES EPOUX</t>
  </si>
  <si>
    <t>Nombre de premiers mariages</t>
  </si>
  <si>
    <t>Source de données : l'INSEE, "Situation démographique en France en 2001" et "Situation démographique en France en 2002" (CD-ROM)</t>
  </si>
  <si>
    <t>Avec le diagramme de Lexis illustrez les données disponibles et expliquez votre choix de méthode de calculs (algorithme)</t>
  </si>
  <si>
    <t>% de sélibataires</t>
  </si>
  <si>
    <t>c50</t>
  </si>
  <si>
    <t>SMAM=</t>
  </si>
  <si>
    <t>0-4</t>
  </si>
  <si>
    <t>5-9</t>
  </si>
  <si>
    <t>10-14</t>
  </si>
  <si>
    <t>50-54</t>
  </si>
  <si>
    <t>Célibat définitif</t>
  </si>
  <si>
    <t>Non célibataires</t>
  </si>
  <si>
    <t>Mariage</t>
  </si>
  <si>
    <t>Décès</t>
  </si>
  <si>
    <t>nGx</t>
  </si>
  <si>
    <t>nNx</t>
  </si>
  <si>
    <t>Cx</t>
  </si>
  <si>
    <t>nBx</t>
  </si>
  <si>
    <t>AMM(15-50) =</t>
  </si>
  <si>
    <t>hommes</t>
  </si>
  <si>
    <t>femmes</t>
  </si>
  <si>
    <t>la probabilité de se mariér après 50 ans mais avant 70</t>
  </si>
  <si>
    <t>exact</t>
  </si>
  <si>
    <t>nSx</t>
  </si>
  <si>
    <t>nQx</t>
  </si>
  <si>
    <t>la probabilité de se mourir célibataire après 50 ans mais avant 70</t>
  </si>
  <si>
    <t>la probabilité de rester célibataire après 50 ans mais avant 70</t>
  </si>
  <si>
    <t>nDx</t>
  </si>
  <si>
    <t>Sx</t>
  </si>
  <si>
    <t>la probabilité de se mourir pour un célibataire "éternel" après 50 ans mais avant 70</t>
  </si>
  <si>
    <t>On peut voire que la table III est assez proche de la table I</t>
  </si>
  <si>
    <t>Table 1</t>
  </si>
  <si>
    <t>Table 2</t>
  </si>
  <si>
    <t>Table 3</t>
  </si>
  <si>
    <t>Données pour les graphiques</t>
  </si>
  <si>
    <t>référence</t>
  </si>
  <si>
    <t>écart relatif</t>
  </si>
  <si>
    <t>écart absolu</t>
  </si>
  <si>
    <t>nTx</t>
  </si>
  <si>
    <t>Soit nTx - le taux de sortie du célibat par âge</t>
  </si>
  <si>
    <t>Table nuptalité III : table associée à la nuptialité dans le processus de l'extinction muliple</t>
  </si>
  <si>
    <t>Nuptialité pure</t>
  </si>
  <si>
    <t>Mortalité pure</t>
  </si>
  <si>
    <t>Table nuptialité II : table de nuptialité et de mortalité combinée</t>
  </si>
  <si>
    <t>nTx -</t>
  </si>
  <si>
    <t>taux de sortie du célibat (mariage + décès)</t>
  </si>
  <si>
    <t>nSx -</t>
  </si>
  <si>
    <t>quotients de sortie du célibat (mariage + décès)</t>
  </si>
  <si>
    <t>nNx -</t>
  </si>
  <si>
    <t>quotients de primonuptialité</t>
  </si>
  <si>
    <t>nQx -</t>
  </si>
  <si>
    <t>quotients de mortalité des célibataires (nette)</t>
  </si>
  <si>
    <t>Cx -</t>
  </si>
  <si>
    <t>Nombre de célibataires à l'âge exact "x" (les survvant en état de célibat)</t>
  </si>
  <si>
    <t>nBx -</t>
  </si>
  <si>
    <t>mariages de table</t>
  </si>
  <si>
    <t>nDx -</t>
  </si>
  <si>
    <t>décès de table</t>
  </si>
  <si>
    <t>nGx -</t>
  </si>
  <si>
    <t>taux de mariage</t>
  </si>
  <si>
    <t>quotients de primonuptialité (dépendants)</t>
  </si>
  <si>
    <t>quotients de mortalité des célibataires (dépendants)</t>
  </si>
  <si>
    <t>Nombre de célibataires à l'âge exact "x" (les survivant en état de célibat)</t>
  </si>
  <si>
    <t>nombre de célibataires à l'âge exact "x" (les survivant en état de célibat)</t>
  </si>
  <si>
    <t>Table nuptalité I : calculée directement à partir des taux par âge de 1e cathégorie</t>
  </si>
  <si>
    <t>Soit :</t>
  </si>
  <si>
    <t>1. Calculez l'âge moyen au premier mariage à partir la structure de la population par âge et par sexe en 2001</t>
  </si>
  <si>
    <t>3. Calculez la table de primo-nuptialité avec la méthodes "actuarielle", âge moyen au premier mariage et célibat définitif de table</t>
  </si>
  <si>
    <t>4. Calculez la table combinée de la nuptialité et de la mortalité des célibataires</t>
  </si>
  <si>
    <t>6. Quels sont le célibat définitif et l'âge moyen au première mariage selon ces trois tables</t>
  </si>
  <si>
    <t>en supposant qu'il n'y plus de marriage après 70 ans</t>
  </si>
  <si>
    <t>Age moyen</t>
  </si>
  <si>
    <r>
      <t>C</t>
    </r>
    <r>
      <rPr>
        <vertAlign val="subscript"/>
        <sz val="10"/>
        <rFont val="Calibri"/>
        <family val="2"/>
        <charset val="204"/>
      </rPr>
      <t>50</t>
    </r>
  </si>
  <si>
    <t>SMAM</t>
  </si>
  <si>
    <t>Actuarielle</t>
  </si>
  <si>
    <t>Combinée</t>
  </si>
  <si>
    <t>Associée</t>
  </si>
  <si>
    <t>méthode</t>
  </si>
  <si>
    <r>
      <t>Pourquoi le célibat définitif (C</t>
    </r>
    <r>
      <rPr>
        <b/>
        <vertAlign val="subscript"/>
        <sz val="10"/>
        <rFont val="Calibri"/>
        <family val="2"/>
        <charset val="204"/>
      </rPr>
      <t>50</t>
    </r>
    <r>
      <rPr>
        <b/>
        <sz val="10"/>
        <rFont val="Calibri"/>
        <family val="2"/>
        <charset val="204"/>
      </rPr>
      <t>) observée si différente de celles provenant des tables?</t>
    </r>
  </si>
  <si>
    <t>Transformation d'une table combinée en tables associées à un seul facteur</t>
  </si>
  <si>
    <t>Taux de</t>
  </si>
  <si>
    <t>Méthode "indirecte" (approche de Ch.Chiang)</t>
  </si>
  <si>
    <t>Méthode "directe" (formule 'actuarielle' de conversion des taux en quotients)</t>
  </si>
  <si>
    <t>Coversion des quotients bruts en quotients nettes (voir la définition de Ch.Chiang)</t>
  </si>
  <si>
    <t>table combinée</t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</si>
  <si>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g'</t>
    </r>
    <r>
      <rPr>
        <vertAlign val="subscript"/>
        <sz val="10"/>
        <rFont val="Calibri"/>
        <family val="2"/>
        <charset val="204"/>
        <scheme val="minor"/>
      </rPr>
      <t>x</t>
    </r>
  </si>
  <si>
    <t>table associée à la nuptialité</t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</si>
  <si>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q'</t>
    </r>
    <r>
      <rPr>
        <vertAlign val="subscript"/>
        <sz val="10"/>
        <rFont val="Calibri"/>
        <family val="2"/>
        <charset val="204"/>
        <scheme val="minor"/>
      </rPr>
      <t>x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</si>
  <si>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d</t>
    </r>
    <r>
      <rPr>
        <vertAlign val="subscript"/>
        <sz val="10"/>
        <rFont val="Calibri"/>
        <family val="2"/>
        <charset val="204"/>
        <scheme val="minor"/>
      </rPr>
      <t>x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</si>
  <si>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b</t>
    </r>
    <r>
      <rPr>
        <vertAlign val="subscript"/>
        <sz val="10"/>
        <rFont val="Calibri"/>
        <family val="2"/>
        <charset val="204"/>
        <scheme val="minor"/>
      </rPr>
      <t>x</t>
    </r>
  </si>
  <si>
    <t>table associé à la mortalité</t>
  </si>
  <si>
    <t>mariages de table grosse (probabilité nette)</t>
  </si>
  <si>
    <t>décès de table grosse (probabilité nette)</t>
  </si>
  <si>
    <t>Calculs des tables associées à un seul facteur d'extinction dans le processus d'extinction multiple</t>
  </si>
  <si>
    <t>Table nuptialité III : table associée à la nuptialité dans le processus de l'extinction multiple</t>
  </si>
  <si>
    <t>la probabilité de se marier après 50 ans mais avant 70</t>
  </si>
  <si>
    <t>quotients de primo nuptialité (nette)</t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</si>
  <si>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b'</t>
    </r>
    <r>
      <rPr>
        <vertAlign val="subscript"/>
        <sz val="10"/>
        <rFont val="Calibri"/>
        <family val="2"/>
        <charset val="204"/>
        <scheme val="minor"/>
      </rPr>
      <t>x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</si>
  <si>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d'</t>
    </r>
    <r>
      <rPr>
        <vertAlign val="subscript"/>
        <sz val="10"/>
        <rFont val="Calibri"/>
        <family val="2"/>
        <charset val="204"/>
        <scheme val="minor"/>
      </rPr>
      <t>x</t>
    </r>
  </si>
  <si>
    <r>
      <t>mariage (</t>
    </r>
    <r>
      <rPr>
        <vertAlign val="subscript"/>
        <sz val="9"/>
        <rFont val="Calibri"/>
        <family val="2"/>
        <charset val="204"/>
        <scheme val="minor"/>
      </rPr>
      <t>n</t>
    </r>
    <r>
      <rPr>
        <sz val="9"/>
        <rFont val="Calibri"/>
        <family val="2"/>
        <charset val="204"/>
        <scheme val="minor"/>
      </rPr>
      <t>M</t>
    </r>
    <r>
      <rPr>
        <vertAlign val="subscript"/>
        <sz val="9"/>
        <rFont val="Calibri"/>
        <family val="2"/>
        <charset val="204"/>
        <scheme val="minor"/>
      </rPr>
      <t>x</t>
    </r>
    <r>
      <rPr>
        <sz val="9"/>
        <rFont val="Calibri"/>
        <family val="2"/>
        <charset val="204"/>
        <scheme val="minor"/>
      </rPr>
      <t>)</t>
    </r>
  </si>
  <si>
    <r>
      <t>décès (</t>
    </r>
    <r>
      <rPr>
        <vertAlign val="subscript"/>
        <sz val="9"/>
        <rFont val="Calibri"/>
        <family val="2"/>
        <charset val="204"/>
        <scheme val="minor"/>
      </rPr>
      <t>n</t>
    </r>
    <r>
      <rPr>
        <sz val="9"/>
        <rFont val="Calibri"/>
        <family val="2"/>
        <charset val="204"/>
        <scheme val="minor"/>
      </rPr>
      <t>D</t>
    </r>
    <r>
      <rPr>
        <vertAlign val="subscript"/>
        <sz val="9"/>
        <rFont val="Calibri"/>
        <family val="2"/>
        <charset val="204"/>
        <scheme val="minor"/>
      </rPr>
      <t>x</t>
    </r>
    <r>
      <rPr>
        <sz val="9"/>
        <rFont val="Calibri"/>
        <family val="2"/>
        <charset val="204"/>
        <scheme val="minor"/>
      </rPr>
      <t>)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</si>
  <si>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g</t>
    </r>
    <r>
      <rPr>
        <vertAlign val="subscript"/>
        <sz val="10"/>
        <rFont val="Calibri"/>
        <family val="2"/>
        <charset val="204"/>
        <scheme val="minor"/>
      </rPr>
      <t>x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</si>
  <si>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q</t>
    </r>
    <r>
      <rPr>
        <vertAlign val="subscript"/>
        <sz val="10"/>
        <rFont val="Calibri"/>
        <family val="2"/>
        <charset val="204"/>
        <scheme val="minor"/>
      </rPr>
      <t>x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</si>
  <si>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s</t>
    </r>
    <r>
      <rPr>
        <vertAlign val="subscript"/>
        <sz val="10"/>
        <rFont val="Calibri"/>
        <family val="2"/>
        <charset val="204"/>
        <scheme val="minor"/>
      </rPr>
      <t>x</t>
    </r>
  </si>
  <si>
    <r>
      <rPr>
        <vertAlign val="subscript"/>
        <sz val="11"/>
        <rFont val="Calibri"/>
        <family val="2"/>
        <charset val="204"/>
        <scheme val="minor"/>
      </rPr>
      <t>n</t>
    </r>
    <r>
      <rPr>
        <sz val="11"/>
        <rFont val="Calibri"/>
        <family val="2"/>
        <charset val="204"/>
        <scheme val="minor"/>
      </rPr>
      <t>s</t>
    </r>
    <r>
      <rPr>
        <vertAlign val="subscript"/>
        <sz val="11"/>
        <rFont val="Calibri"/>
        <family val="2"/>
        <charset val="204"/>
        <scheme val="minor"/>
      </rPr>
      <t>x</t>
    </r>
  </si>
  <si>
    <r>
      <rPr>
        <vertAlign val="subscript"/>
        <sz val="11"/>
        <rFont val="Calibri"/>
        <family val="2"/>
        <charset val="204"/>
        <scheme val="minor"/>
      </rPr>
      <t>n</t>
    </r>
    <r>
      <rPr>
        <sz val="11"/>
        <rFont val="Calibri"/>
        <family val="2"/>
        <charset val="204"/>
        <scheme val="minor"/>
      </rPr>
      <t>g</t>
    </r>
    <r>
      <rPr>
        <vertAlign val="subscript"/>
        <sz val="11"/>
        <rFont val="Calibri"/>
        <family val="2"/>
        <charset val="204"/>
        <scheme val="minor"/>
      </rPr>
      <t>x</t>
    </r>
  </si>
  <si>
    <r>
      <rPr>
        <vertAlign val="subscript"/>
        <sz val="11"/>
        <rFont val="Calibri"/>
        <family val="2"/>
        <charset val="204"/>
        <scheme val="minor"/>
      </rPr>
      <t>n</t>
    </r>
    <r>
      <rPr>
        <sz val="11"/>
        <rFont val="Calibri"/>
        <family val="2"/>
        <charset val="204"/>
        <scheme val="minor"/>
      </rPr>
      <t>q</t>
    </r>
    <r>
      <rPr>
        <vertAlign val="subscript"/>
        <sz val="11"/>
        <rFont val="Calibri"/>
        <family val="2"/>
        <charset val="204"/>
        <scheme val="minor"/>
      </rPr>
      <t>x</t>
    </r>
  </si>
  <si>
    <r>
      <rPr>
        <vertAlign val="subscript"/>
        <sz val="11"/>
        <rFont val="Calibri"/>
        <family val="2"/>
        <charset val="204"/>
        <scheme val="minor"/>
      </rPr>
      <t>n</t>
    </r>
    <r>
      <rPr>
        <sz val="11"/>
        <rFont val="Calibri"/>
        <family val="2"/>
        <charset val="204"/>
        <scheme val="minor"/>
      </rPr>
      <t>b</t>
    </r>
    <r>
      <rPr>
        <vertAlign val="subscript"/>
        <sz val="11"/>
        <rFont val="Calibri"/>
        <family val="2"/>
        <charset val="204"/>
        <scheme val="minor"/>
      </rPr>
      <t>x</t>
    </r>
  </si>
  <si>
    <r>
      <rPr>
        <vertAlign val="subscript"/>
        <sz val="11"/>
        <rFont val="Calibri"/>
        <family val="2"/>
        <charset val="204"/>
        <scheme val="minor"/>
      </rPr>
      <t>n</t>
    </r>
    <r>
      <rPr>
        <sz val="11"/>
        <rFont val="Calibri"/>
        <family val="2"/>
        <charset val="204"/>
        <scheme val="minor"/>
      </rPr>
      <t>d</t>
    </r>
    <r>
      <rPr>
        <vertAlign val="subscript"/>
        <sz val="11"/>
        <rFont val="Calibri"/>
        <family val="2"/>
        <charset val="204"/>
        <scheme val="minor"/>
      </rPr>
      <t>x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</si>
  <si>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s</t>
    </r>
    <r>
      <rPr>
        <vertAlign val="subscript"/>
        <sz val="10"/>
        <rFont val="Calibri"/>
        <family val="2"/>
        <charset val="204"/>
        <scheme val="minor"/>
      </rPr>
      <t>x</t>
    </r>
    <r>
      <rPr>
        <sz val="10"/>
        <rFont val="Calibri"/>
        <family val="2"/>
        <charset val="204"/>
        <scheme val="minor"/>
      </rPr>
      <t xml:space="preserve"> - la probabilité de sortie du célibat</t>
    </r>
  </si>
  <si>
    <t>5. Calculez la table de nuptialité des célibataires en absence de mortalité (utilisez de différentes approches et comparez les résultatas)</t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</si>
  <si>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G</t>
    </r>
    <r>
      <rPr>
        <vertAlign val="subscript"/>
        <sz val="10"/>
        <rFont val="Calibri"/>
        <family val="2"/>
        <charset val="204"/>
        <scheme val="minor"/>
      </rPr>
      <t>x</t>
    </r>
  </si>
  <si>
    <r>
      <t>n</t>
    </r>
    <r>
      <rPr>
        <sz val="10"/>
        <rFont val="Calibri"/>
        <family val="2"/>
        <charset val="204"/>
        <scheme val="minor"/>
      </rPr>
      <t>M</t>
    </r>
    <r>
      <rPr>
        <vertAlign val="subscript"/>
        <sz val="10"/>
        <rFont val="Calibri"/>
        <family val="2"/>
        <charset val="204"/>
        <scheme val="minor"/>
      </rPr>
      <t>x</t>
    </r>
  </si>
  <si>
    <r>
      <t>mariage (</t>
    </r>
    <r>
      <rPr>
        <vertAlign val="subscript"/>
        <sz val="9"/>
        <rFont val="Calibri"/>
        <family val="2"/>
        <charset val="204"/>
        <scheme val="minor"/>
      </rPr>
      <t>n</t>
    </r>
    <r>
      <rPr>
        <sz val="9"/>
        <rFont val="Calibri"/>
        <family val="2"/>
        <charset val="204"/>
        <scheme val="minor"/>
      </rPr>
      <t>G</t>
    </r>
    <r>
      <rPr>
        <vertAlign val="subscript"/>
        <sz val="9"/>
        <rFont val="Calibri"/>
        <family val="2"/>
        <charset val="204"/>
        <scheme val="minor"/>
      </rPr>
      <t>x</t>
    </r>
    <r>
      <rPr>
        <sz val="9"/>
        <rFont val="Calibri"/>
        <family val="2"/>
        <charset val="204"/>
        <scheme val="minor"/>
      </rPr>
      <t>)</t>
    </r>
  </si>
  <si>
    <t>Table 3a</t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</si>
  <si>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T</t>
    </r>
    <r>
      <rPr>
        <vertAlign val="subscript"/>
        <sz val="10"/>
        <rFont val="Calibri"/>
        <family val="2"/>
        <charset val="204"/>
        <scheme val="minor"/>
      </rPr>
      <t>x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</si>
  <si>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s</t>
    </r>
    <r>
      <rPr>
        <vertAlign val="subscript"/>
        <sz val="10"/>
        <rFont val="Calibri"/>
        <family val="2"/>
        <charset val="204"/>
        <scheme val="minor"/>
      </rPr>
      <t>x</t>
    </r>
    <r>
      <rPr>
        <sz val="10"/>
        <rFont val="Calibri"/>
        <family val="2"/>
        <charset val="204"/>
        <scheme val="minor"/>
      </rPr>
      <t xml:space="preserve"> -</t>
    </r>
  </si>
  <si>
    <r>
      <rPr>
        <vertAlign val="subscript"/>
        <sz val="10"/>
        <rFont val="Calibri"/>
        <family val="2"/>
        <charset val="204"/>
        <scheme val="minor"/>
      </rPr>
      <t>n</t>
    </r>
    <r>
      <rPr>
        <sz val="10"/>
        <rFont val="Calibri"/>
        <family val="2"/>
        <charset val="204"/>
        <scheme val="minor"/>
      </rPr>
      <t>T</t>
    </r>
    <r>
      <rPr>
        <vertAlign val="subscript"/>
        <sz val="10"/>
        <rFont val="Calibri"/>
        <family val="2"/>
        <charset val="204"/>
        <scheme val="minor"/>
      </rPr>
      <t>x</t>
    </r>
    <r>
      <rPr>
        <sz val="10"/>
        <rFont val="Calibri"/>
        <family val="2"/>
        <charset val="204"/>
        <scheme val="minor"/>
      </rPr>
      <t xml:space="preserve"> -</t>
    </r>
  </si>
  <si>
    <t>Méthode "indirecte" (approche exponentielle : la densité de la probabilité est uniforme sur l'intervalle)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</si>
</sst>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&quot; &quot;"/>
    <numFmt numFmtId="165" formatCode="#,##0.0&quot; &quot;"/>
    <numFmt numFmtId="166" formatCode="0.00000"/>
    <numFmt numFmtId="167" formatCode="0.000"/>
    <numFmt numFmtId="168" formatCode="0.0"/>
    <numFmt numFmtId="169" formatCode="0.0%"/>
    <numFmt numFmtId="170" formatCode="#,##0.00000"/>
    <numFmt numFmtId="171" formatCode="#,##0.000000"/>
    <numFmt numFmtId="172" formatCode="0.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vertAlign val="subscript"/>
      <sz val="10"/>
      <name val="Calibri"/>
      <family val="2"/>
      <charset val="204"/>
    </font>
    <font>
      <b/>
      <sz val="10"/>
      <name val="Calibri"/>
      <family val="2"/>
      <charset val="204"/>
    </font>
    <font>
      <b/>
      <vertAlign val="subscript"/>
      <sz val="10"/>
      <name val="Calibri"/>
      <family val="2"/>
      <charset val="204"/>
    </font>
    <font>
      <vertAlign val="subscript"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vertAlign val="subscript"/>
      <sz val="9"/>
      <name val="Calibri"/>
      <family val="2"/>
      <charset val="204"/>
      <scheme val="minor"/>
    </font>
    <font>
      <vertAlign val="subscript"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164" fontId="4" fillId="0" borderId="5" xfId="1" applyNumberFormat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right" vertical="center"/>
    </xf>
    <xf numFmtId="49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/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64" fontId="5" fillId="0" borderId="5" xfId="1" applyNumberFormat="1" applyFont="1" applyBorder="1" applyAlignment="1">
      <alignment horizontal="right" vertical="center"/>
    </xf>
    <xf numFmtId="49" fontId="4" fillId="0" borderId="0" xfId="2" applyNumberFormat="1" applyFon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right"/>
    </xf>
    <xf numFmtId="0" fontId="4" fillId="0" borderId="0" xfId="2" applyFont="1" applyAlignment="1">
      <alignment horizontal="centerContinuous"/>
    </xf>
    <xf numFmtId="49" fontId="4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right"/>
    </xf>
    <xf numFmtId="0" fontId="4" fillId="0" borderId="4" xfId="0" applyFont="1" applyBorder="1" applyAlignment="1">
      <alignment horizontal="centerContinuous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/>
    <xf numFmtId="0" fontId="4" fillId="0" borderId="6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0" xfId="0" applyNumberFormat="1" applyFont="1"/>
    <xf numFmtId="3" fontId="4" fillId="0" borderId="5" xfId="1" applyNumberFormat="1" applyFont="1" applyBorder="1" applyAlignment="1">
      <alignment horizontal="right" vertical="center"/>
    </xf>
    <xf numFmtId="167" fontId="4" fillId="0" borderId="0" xfId="0" applyNumberFormat="1" applyFont="1"/>
    <xf numFmtId="168" fontId="4" fillId="0" borderId="0" xfId="0" applyNumberFormat="1" applyFont="1"/>
    <xf numFmtId="1" fontId="4" fillId="0" borderId="0" xfId="0" applyNumberFormat="1" applyFont="1"/>
    <xf numFmtId="169" fontId="4" fillId="0" borderId="0" xfId="3" applyNumberFormat="1" applyFont="1"/>
    <xf numFmtId="10" fontId="4" fillId="0" borderId="0" xfId="3" applyNumberFormat="1" applyFont="1"/>
    <xf numFmtId="0" fontId="4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3" xfId="0" applyNumberFormat="1" applyFont="1" applyBorder="1"/>
    <xf numFmtId="1" fontId="4" fillId="0" borderId="3" xfId="0" applyNumberFormat="1" applyFont="1" applyBorder="1"/>
    <xf numFmtId="166" fontId="4" fillId="0" borderId="2" xfId="0" applyNumberFormat="1" applyFont="1" applyBorder="1"/>
    <xf numFmtId="1" fontId="4" fillId="0" borderId="2" xfId="0" applyNumberFormat="1" applyFont="1" applyBorder="1"/>
    <xf numFmtId="1" fontId="4" fillId="0" borderId="4" xfId="0" applyNumberFormat="1" applyFont="1" applyBorder="1"/>
    <xf numFmtId="0" fontId="4" fillId="0" borderId="0" xfId="2" applyFont="1" applyAlignment="1">
      <alignment horizontal="center" vertical="center"/>
    </xf>
    <xf numFmtId="3" fontId="4" fillId="0" borderId="0" xfId="1" applyNumberFormat="1" applyFont="1" applyAlignment="1">
      <alignment horizontal="right" vertical="center"/>
    </xf>
    <xf numFmtId="0" fontId="7" fillId="0" borderId="0" xfId="0" applyFont="1"/>
    <xf numFmtId="0" fontId="7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2" xfId="1" applyNumberFormat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right" vertical="center"/>
    </xf>
    <xf numFmtId="3" fontId="7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6" fontId="7" fillId="0" borderId="3" xfId="0" applyNumberFormat="1" applyFont="1" applyBorder="1"/>
    <xf numFmtId="0" fontId="7" fillId="0" borderId="3" xfId="0" applyFont="1" applyBorder="1"/>
    <xf numFmtId="1" fontId="7" fillId="0" borderId="3" xfId="0" applyNumberFormat="1" applyFont="1" applyBorder="1"/>
    <xf numFmtId="0" fontId="7" fillId="0" borderId="2" xfId="0" applyFont="1" applyBorder="1" applyAlignment="1">
      <alignment horizontal="center"/>
    </xf>
    <xf numFmtId="166" fontId="7" fillId="0" borderId="2" xfId="0" applyNumberFormat="1" applyFont="1" applyBorder="1"/>
    <xf numFmtId="1" fontId="7" fillId="0" borderId="2" xfId="0" applyNumberFormat="1" applyFont="1" applyBorder="1"/>
    <xf numFmtId="0" fontId="7" fillId="0" borderId="2" xfId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7" fillId="0" borderId="4" xfId="0" applyFont="1" applyBorder="1"/>
    <xf numFmtId="1" fontId="7" fillId="0" borderId="4" xfId="0" applyNumberFormat="1" applyFont="1" applyBorder="1"/>
    <xf numFmtId="3" fontId="7" fillId="0" borderId="5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1" fontId="7" fillId="0" borderId="0" xfId="0" applyNumberFormat="1" applyFont="1"/>
    <xf numFmtId="164" fontId="7" fillId="0" borderId="0" xfId="0" applyNumberFormat="1" applyFont="1"/>
    <xf numFmtId="0" fontId="9" fillId="2" borderId="0" xfId="0" applyFont="1" applyFill="1" applyAlignment="1">
      <alignment horizontal="right"/>
    </xf>
    <xf numFmtId="9" fontId="7" fillId="0" borderId="0" xfId="3" applyFont="1"/>
    <xf numFmtId="169" fontId="7" fillId="0" borderId="0" xfId="3" applyNumberFormat="1" applyFont="1"/>
    <xf numFmtId="1" fontId="4" fillId="0" borderId="0" xfId="2" applyNumberFormat="1" applyFont="1"/>
    <xf numFmtId="0" fontId="10" fillId="0" borderId="4" xfId="0" applyFont="1" applyBorder="1"/>
    <xf numFmtId="1" fontId="10" fillId="0" borderId="4" xfId="0" applyNumberFormat="1" applyFont="1" applyBorder="1"/>
    <xf numFmtId="0" fontId="11" fillId="0" borderId="0" xfId="0" applyFont="1"/>
    <xf numFmtId="0" fontId="4" fillId="0" borderId="6" xfId="0" applyFont="1" applyBorder="1"/>
    <xf numFmtId="0" fontId="4" fillId="0" borderId="8" xfId="0" applyFont="1" applyBorder="1"/>
    <xf numFmtId="167" fontId="4" fillId="0" borderId="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9" fontId="4" fillId="0" borderId="2" xfId="3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9" fontId="4" fillId="0" borderId="4" xfId="3" applyNumberFormat="1" applyFont="1" applyBorder="1" applyAlignment="1">
      <alignment horizontal="center"/>
    </xf>
    <xf numFmtId="169" fontId="4" fillId="3" borderId="3" xfId="3" applyNumberFormat="1" applyFont="1" applyFill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171" fontId="7" fillId="0" borderId="3" xfId="0" applyNumberFormat="1" applyFont="1" applyBorder="1"/>
    <xf numFmtId="171" fontId="7" fillId="0" borderId="2" xfId="0" applyNumberFormat="1" applyFont="1" applyBorder="1"/>
    <xf numFmtId="171" fontId="7" fillId="0" borderId="4" xfId="0" applyNumberFormat="1" applyFont="1" applyBorder="1"/>
    <xf numFmtId="166" fontId="7" fillId="0" borderId="0" xfId="0" applyNumberFormat="1" applyFont="1"/>
    <xf numFmtId="166" fontId="7" fillId="0" borderId="3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6" fontId="7" fillId="4" borderId="3" xfId="0" applyNumberFormat="1" applyFont="1" applyFill="1" applyBorder="1"/>
    <xf numFmtId="166" fontId="7" fillId="4" borderId="2" xfId="0" applyNumberFormat="1" applyFont="1" applyFill="1" applyBorder="1"/>
    <xf numFmtId="0" fontId="7" fillId="0" borderId="11" xfId="0" applyFont="1" applyBorder="1" applyAlignment="1">
      <alignment horizontal="left"/>
    </xf>
    <xf numFmtId="0" fontId="7" fillId="0" borderId="12" xfId="0" applyFont="1" applyBorder="1"/>
    <xf numFmtId="166" fontId="7" fillId="0" borderId="4" xfId="0" applyNumberFormat="1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13" xfId="0" applyFont="1" applyBorder="1"/>
    <xf numFmtId="167" fontId="7" fillId="0" borderId="2" xfId="0" applyNumberFormat="1" applyFont="1" applyBorder="1"/>
    <xf numFmtId="172" fontId="7" fillId="0" borderId="2" xfId="0" applyNumberFormat="1" applyFont="1" applyBorder="1"/>
    <xf numFmtId="0" fontId="7" fillId="5" borderId="6" xfId="0" applyFont="1" applyFill="1" applyBorder="1"/>
    <xf numFmtId="0" fontId="7" fillId="5" borderId="7" xfId="0" applyFont="1" applyFill="1" applyBorder="1"/>
    <xf numFmtId="0" fontId="7" fillId="5" borderId="8" xfId="0" applyFont="1" applyFill="1" applyBorder="1"/>
    <xf numFmtId="0" fontId="7" fillId="6" borderId="6" xfId="0" applyFont="1" applyFill="1" applyBorder="1"/>
    <xf numFmtId="0" fontId="7" fillId="6" borderId="7" xfId="0" applyFont="1" applyFill="1" applyBorder="1"/>
    <xf numFmtId="0" fontId="7" fillId="6" borderId="8" xfId="0" applyFont="1" applyFill="1" applyBorder="1"/>
    <xf numFmtId="0" fontId="16" fillId="0" borderId="0" xfId="0" applyFont="1"/>
    <xf numFmtId="0" fontId="17" fillId="0" borderId="0" xfId="0" applyFont="1"/>
    <xf numFmtId="0" fontId="8" fillId="0" borderId="0" xfId="0" applyFont="1"/>
    <xf numFmtId="0" fontId="18" fillId="0" borderId="0" xfId="0" applyFont="1"/>
    <xf numFmtId="49" fontId="19" fillId="0" borderId="2" xfId="1" applyNumberFormat="1" applyFont="1" applyBorder="1" applyAlignment="1">
      <alignment horizontal="center" vertical="center"/>
    </xf>
    <xf numFmtId="170" fontId="7" fillId="0" borderId="2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72" fontId="7" fillId="0" borderId="3" xfId="0" applyNumberFormat="1" applyFont="1" applyBorder="1"/>
    <xf numFmtId="167" fontId="7" fillId="0" borderId="3" xfId="0" applyNumberFormat="1" applyFont="1" applyBorder="1"/>
    <xf numFmtId="172" fontId="7" fillId="0" borderId="4" xfId="0" applyNumberFormat="1" applyFont="1" applyBorder="1"/>
    <xf numFmtId="167" fontId="7" fillId="0" borderId="4" xfId="0" applyNumberFormat="1" applyFont="1" applyBorder="1"/>
    <xf numFmtId="1" fontId="7" fillId="0" borderId="2" xfId="0" applyNumberFormat="1" applyFont="1" applyFill="1" applyBorder="1"/>
    <xf numFmtId="0" fontId="8" fillId="0" borderId="0" xfId="0" applyFont="1" applyBorder="1" applyAlignment="1">
      <alignment horizontal="right"/>
    </xf>
    <xf numFmtId="0" fontId="7" fillId="0" borderId="7" xfId="2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170" fontId="7" fillId="0" borderId="3" xfId="0" applyNumberFormat="1" applyFont="1" applyBorder="1"/>
    <xf numFmtId="170" fontId="7" fillId="0" borderId="2" xfId="0" applyNumberFormat="1" applyFont="1" applyBorder="1"/>
    <xf numFmtId="170" fontId="7" fillId="0" borderId="4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2" applyFont="1" applyBorder="1" applyAlignment="1">
      <alignment horizontal="center" vertical="center"/>
    </xf>
    <xf numFmtId="0" fontId="7" fillId="0" borderId="0" xfId="0" applyFont="1" applyBorder="1"/>
    <xf numFmtId="1" fontId="7" fillId="0" borderId="0" xfId="0" applyNumberFormat="1" applyFont="1" applyFill="1" applyBorder="1"/>
  </cellXfs>
  <cellStyles count="4">
    <cellStyle name="Normal" xfId="0" builtinId="0"/>
    <cellStyle name="Normal_Population" xfId="1" xr:uid="{00000000-0005-0000-0000-000001000000}"/>
    <cellStyle name="Normal_t7b_2000" xfId="2" xr:uid="{00000000-0005-0000-0000-000002000000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Nombre d'années vécues en état de célibat (Hommes)</a:t>
            </a:r>
          </a:p>
        </c:rich>
      </c:tx>
      <c:layout>
        <c:manualLayout>
          <c:xMode val="edge"/>
          <c:yMode val="edge"/>
          <c:x val="0.13647668731234897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3937732554829"/>
          <c:y val="0.14248039464513246"/>
          <c:w val="0.79900841226011488"/>
          <c:h val="0.741425757320041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SMAM!$R$7</c:f>
              <c:strCache>
                <c:ptCount val="1"/>
                <c:pt idx="0">
                  <c:v>Célibat définitif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ysDash"/>
            </a:ln>
          </c:spPr>
          <c:invertIfNegative val="0"/>
          <c:cat>
            <c:strRef>
              <c:f>SMAM!$N$8:$N$17</c:f>
              <c:strCache>
                <c:ptCount val="1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</c:strCache>
            </c:strRef>
          </c:cat>
          <c:val>
            <c:numRef>
              <c:f>SMAM!$R$8:$R$17</c:f>
              <c:numCache>
                <c:formatCode>General</c:formatCode>
                <c:ptCount val="10"/>
                <c:pt idx="0">
                  <c:v>0.14189356891021065</c:v>
                </c:pt>
                <c:pt idx="1">
                  <c:v>0.14189356891021065</c:v>
                </c:pt>
                <c:pt idx="2">
                  <c:v>0.14189356891021065</c:v>
                </c:pt>
                <c:pt idx="3">
                  <c:v>0.14189356891021065</c:v>
                </c:pt>
                <c:pt idx="4">
                  <c:v>0.14189356891021065</c:v>
                </c:pt>
                <c:pt idx="5">
                  <c:v>0.14189356891021065</c:v>
                </c:pt>
                <c:pt idx="6">
                  <c:v>0.14189356891021065</c:v>
                </c:pt>
                <c:pt idx="7">
                  <c:v>0.14189356891021065</c:v>
                </c:pt>
                <c:pt idx="8">
                  <c:v>0.14189356891021065</c:v>
                </c:pt>
                <c:pt idx="9">
                  <c:v>0.14189356891021065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C-47CB-B2B2-BC4676BC85EA}"/>
            </c:ext>
          </c:extLst>
        </c:ser>
        <c:ser>
          <c:idx val="1"/>
          <c:order val="1"/>
          <c:tx>
            <c:strRef>
              <c:f>SMAM!$S$7</c:f>
              <c:strCache>
                <c:ptCount val="1"/>
                <c:pt idx="0">
                  <c:v>Non célibataires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ysDash"/>
            </a:ln>
          </c:spPr>
          <c:invertIfNegative val="0"/>
          <c:cat>
            <c:strRef>
              <c:f>SMAM!$N$8:$N$17</c:f>
              <c:strCache>
                <c:ptCount val="1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</c:strCache>
            </c:strRef>
          </c:cat>
          <c:val>
            <c:numRef>
              <c:f>SMAM!$S$8:$S$17</c:f>
              <c:numCache>
                <c:formatCode>General</c:formatCode>
                <c:ptCount val="10"/>
                <c:pt idx="0">
                  <c:v>0.85810643108978935</c:v>
                </c:pt>
                <c:pt idx="1">
                  <c:v>0.85810643108978935</c:v>
                </c:pt>
                <c:pt idx="2">
                  <c:v>0.85810643108978935</c:v>
                </c:pt>
                <c:pt idx="3">
                  <c:v>0.85793658400271744</c:v>
                </c:pt>
                <c:pt idx="4">
                  <c:v>0.84014536860555866</c:v>
                </c:pt>
                <c:pt idx="5">
                  <c:v>0.64997132890902687</c:v>
                </c:pt>
                <c:pt idx="6">
                  <c:v>0.38070396323228928</c:v>
                </c:pt>
                <c:pt idx="7">
                  <c:v>0.22205044611118802</c:v>
                </c:pt>
                <c:pt idx="8">
                  <c:v>0.1114458062198162</c:v>
                </c:pt>
                <c:pt idx="9">
                  <c:v>2.6549048279012555E-2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C-47CB-B2B2-BC4676BC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556866432"/>
        <c:axId val="-1556858816"/>
      </c:barChart>
      <c:catAx>
        <c:axId val="-15568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5685881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6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75512397178635"/>
          <c:y val="0.1820583245036323"/>
          <c:w val="0.27543450368952016"/>
          <c:h val="0.11345674139017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Nombre d'années vécues en état de célibat (Femmes)</a:t>
            </a:r>
          </a:p>
        </c:rich>
      </c:tx>
      <c:layout>
        <c:manualLayout>
          <c:xMode val="edge"/>
          <c:yMode val="edge"/>
          <c:x val="0.14634146341463414"/>
          <c:y val="3.1578947368421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2439024390245"/>
          <c:y val="0.14210526315789473"/>
          <c:w val="0.8"/>
          <c:h val="0.742105263157894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SMAM!$T$7</c:f>
              <c:strCache>
                <c:ptCount val="1"/>
                <c:pt idx="0">
                  <c:v>Célibat définitif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ysDash"/>
            </a:ln>
          </c:spPr>
          <c:invertIfNegative val="0"/>
          <c:cat>
            <c:strRef>
              <c:f>SMAM!$N$8:$N$17</c:f>
              <c:strCache>
                <c:ptCount val="1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</c:strCache>
            </c:strRef>
          </c:cat>
          <c:val>
            <c:numRef>
              <c:f>SMAM!$T$8:$T$17</c:f>
              <c:numCache>
                <c:formatCode>General</c:formatCode>
                <c:ptCount val="10"/>
                <c:pt idx="0">
                  <c:v>0.10966392653318126</c:v>
                </c:pt>
                <c:pt idx="1">
                  <c:v>0.10966392653318126</c:v>
                </c:pt>
                <c:pt idx="2">
                  <c:v>0.10966392653318126</c:v>
                </c:pt>
                <c:pt idx="3">
                  <c:v>0.10966392653318126</c:v>
                </c:pt>
                <c:pt idx="4">
                  <c:v>0.10966392653318126</c:v>
                </c:pt>
                <c:pt idx="5">
                  <c:v>0.10966392653318126</c:v>
                </c:pt>
                <c:pt idx="6">
                  <c:v>0.10966392653318126</c:v>
                </c:pt>
                <c:pt idx="7">
                  <c:v>0.10966392653318126</c:v>
                </c:pt>
                <c:pt idx="8">
                  <c:v>0.10966392653318126</c:v>
                </c:pt>
                <c:pt idx="9">
                  <c:v>0.10966392653318126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5-434E-98A8-70F22B67CD22}"/>
            </c:ext>
          </c:extLst>
        </c:ser>
        <c:ser>
          <c:idx val="1"/>
          <c:order val="1"/>
          <c:tx>
            <c:strRef>
              <c:f>SMAM!$U$7</c:f>
              <c:strCache>
                <c:ptCount val="1"/>
                <c:pt idx="0">
                  <c:v>Non célibataires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ysDash"/>
            </a:ln>
          </c:spPr>
          <c:invertIfNegative val="0"/>
          <c:cat>
            <c:strRef>
              <c:f>SMAM!$N$8:$N$17</c:f>
              <c:strCache>
                <c:ptCount val="1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</c:strCache>
            </c:strRef>
          </c:cat>
          <c:val>
            <c:numRef>
              <c:f>SMAM!$U$8:$U$17</c:f>
              <c:numCache>
                <c:formatCode>General</c:formatCode>
                <c:ptCount val="10"/>
                <c:pt idx="0">
                  <c:v>0.89033607346681876</c:v>
                </c:pt>
                <c:pt idx="1">
                  <c:v>0.89033607346681876</c:v>
                </c:pt>
                <c:pt idx="2">
                  <c:v>0.89033553681857347</c:v>
                </c:pt>
                <c:pt idx="3">
                  <c:v>0.88825513580527571</c:v>
                </c:pt>
                <c:pt idx="4">
                  <c:v>0.82877008824387488</c:v>
                </c:pt>
                <c:pt idx="5">
                  <c:v>0.54550875120410203</c:v>
                </c:pt>
                <c:pt idx="6">
                  <c:v>0.30619858627697555</c:v>
                </c:pt>
                <c:pt idx="7">
                  <c:v>0.17476728623278592</c:v>
                </c:pt>
                <c:pt idx="8">
                  <c:v>7.9519499715791322E-2</c:v>
                </c:pt>
                <c:pt idx="9">
                  <c:v>1.7564443332094906E-2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5-434E-98A8-70F22B67C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556857728"/>
        <c:axId val="-1556865888"/>
      </c:barChart>
      <c:catAx>
        <c:axId val="-15568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568658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57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902439024390245"/>
          <c:y val="0.18947368421052632"/>
          <c:w val="0.27073170731707319"/>
          <c:h val="0.11315789473684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73469575679445"/>
          <c:y val="5.6722689075630252E-2"/>
          <c:w val="0.76675030865955129"/>
          <c:h val="0.89285714285714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'Comparaison 1-2-3'!$I$2</c:f>
              <c:strCache>
                <c:ptCount val="1"/>
                <c:pt idx="0">
                  <c:v>Table 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'Comparaison 1-2-3'!$B$4:$B$14</c:f>
              <c:numCache>
                <c:formatCode>General</c:formatCode>
                <c:ptCount val="11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</c:numCache>
            </c:numRef>
          </c:xVal>
          <c:yVal>
            <c:numRef>
              <c:f>'Comparaison 1-2-3'!$I$4:$I$14</c:f>
              <c:numCache>
                <c:formatCode>0.000</c:formatCode>
                <c:ptCount val="11"/>
                <c:pt idx="0">
                  <c:v>35.742484868313113</c:v>
                </c:pt>
                <c:pt idx="1">
                  <c:v>79.609740757259715</c:v>
                </c:pt>
                <c:pt idx="2">
                  <c:v>98.203411653167677</c:v>
                </c:pt>
                <c:pt idx="3">
                  <c:v>116.55633872412818</c:v>
                </c:pt>
                <c:pt idx="4">
                  <c:v>157.84003980086982</c:v>
                </c:pt>
                <c:pt idx="5">
                  <c:v>224.43892396615092</c:v>
                </c:pt>
                <c:pt idx="6">
                  <c:v>337.61336822152316</c:v>
                </c:pt>
                <c:pt idx="7">
                  <c:v>499.26329755180677</c:v>
                </c:pt>
                <c:pt idx="8">
                  <c:v>704.80179434707679</c:v>
                </c:pt>
                <c:pt idx="9">
                  <c:v>996.71438406902325</c:v>
                </c:pt>
                <c:pt idx="10">
                  <c:v>1348.855951300859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50-4D0E-94BE-961369890003}"/>
            </c:ext>
          </c:extLst>
        </c:ser>
        <c:ser>
          <c:idx val="1"/>
          <c:order val="1"/>
          <c:tx>
            <c:strRef>
              <c:f>'Comparaison 1-2-3'!$J$2</c:f>
              <c:strCache>
                <c:ptCount val="1"/>
                <c:pt idx="0">
                  <c:v>Table 3a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'Comparaison 1-2-3'!$B$4:$B$14</c:f>
              <c:numCache>
                <c:formatCode>General</c:formatCode>
                <c:ptCount val="11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</c:numCache>
            </c:numRef>
          </c:xVal>
          <c:yVal>
            <c:numRef>
              <c:f>'Comparaison 1-2-3'!$J$4:$J$14</c:f>
              <c:numCache>
                <c:formatCode>0.000</c:formatCode>
                <c:ptCount val="11"/>
                <c:pt idx="0">
                  <c:v>6.4388732425868511E-5</c:v>
                </c:pt>
                <c:pt idx="1">
                  <c:v>4.6737733537156601E-2</c:v>
                </c:pt>
                <c:pt idx="2">
                  <c:v>0.75548330825495214</c:v>
                </c:pt>
                <c:pt idx="3">
                  <c:v>1.1282392196553701</c:v>
                </c:pt>
                <c:pt idx="4">
                  <c:v>1.2562505397945642</c:v>
                </c:pt>
                <c:pt idx="5">
                  <c:v>1.3037766937868582</c:v>
                </c:pt>
                <c:pt idx="6">
                  <c:v>1.3465621947389081</c:v>
                </c:pt>
                <c:pt idx="7">
                  <c:v>1.3894935590615205</c:v>
                </c:pt>
                <c:pt idx="8">
                  <c:v>1.4275917811560248</c:v>
                </c:pt>
                <c:pt idx="9">
                  <c:v>1.4669395455930498</c:v>
                </c:pt>
                <c:pt idx="10">
                  <c:v>1.5547871979615593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50-4D0E-94BE-961369890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56861536"/>
        <c:axId val="-1556860992"/>
      </c:scatterChart>
      <c:valAx>
        <c:axId val="-1556861536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60992"/>
        <c:crosses val="autoZero"/>
        <c:crossBetween val="midCat"/>
      </c:valAx>
      <c:valAx>
        <c:axId val="-155686099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6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079482620503696"/>
          <c:y val="0.27100840336134452"/>
          <c:w val="0.19851142676644329"/>
          <c:h val="8.6134453781512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Fonction de survie</a:t>
            </a:r>
          </a:p>
        </c:rich>
      </c:tx>
      <c:layout>
        <c:manualLayout>
          <c:xMode val="edge"/>
          <c:yMode val="edge"/>
          <c:x val="0.35411471321695759"/>
          <c:y val="2.9473684210526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61346633416459"/>
          <c:y val="0.11157916839342449"/>
          <c:w val="0.77805486284289271"/>
          <c:h val="0.797895620942119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'Comparaison 1-2-3'!$C$2</c:f>
              <c:strCache>
                <c:ptCount val="1"/>
                <c:pt idx="0">
                  <c:v>Table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'Comparaison 1-2-3'!$B$3:$B$14</c:f>
              <c:numCache>
                <c:formatCode>General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</c:numCache>
            </c:numRef>
          </c:xVal>
          <c:yVal>
            <c:numRef>
              <c:f>'Comparaison 1-2-3'!$C$3:$C$14</c:f>
              <c:numCache>
                <c:formatCode>0.0</c:formatCode>
                <c:ptCount val="12"/>
                <c:pt idx="0">
                  <c:v>10000</c:v>
                </c:pt>
                <c:pt idx="1">
                  <c:v>9974.9544787552368</c:v>
                </c:pt>
                <c:pt idx="2">
                  <c:v>9243.5371675955721</c:v>
                </c:pt>
                <c:pt idx="3">
                  <c:v>6679.6956062015106</c:v>
                </c:pt>
                <c:pt idx="4">
                  <c:v>5059.7150050242662</c:v>
                </c:pt>
                <c:pt idx="5">
                  <c:v>4272.0646938854379</c:v>
                </c:pt>
                <c:pt idx="6">
                  <c:v>3850.8160149238561</c:v>
                </c:pt>
                <c:pt idx="7">
                  <c:v>3609.281223622042</c:v>
                </c:pt>
                <c:pt idx="8">
                  <c:v>3461.2856163097331</c:v>
                </c:pt>
                <c:pt idx="9">
                  <c:v>3373.934720420109</c:v>
                </c:pt>
                <c:pt idx="10">
                  <c:v>3335.1439939406719</c:v>
                </c:pt>
                <c:pt idx="11">
                  <c:v>3297.0801218350025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61-40AF-A394-713EA15FD603}"/>
            </c:ext>
          </c:extLst>
        </c:ser>
        <c:ser>
          <c:idx val="1"/>
          <c:order val="1"/>
          <c:tx>
            <c:strRef>
              <c:f>'Comparaison 1-2-3'!$D$2</c:f>
              <c:strCache>
                <c:ptCount val="1"/>
                <c:pt idx="0">
                  <c:v>Table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'Comparaison 1-2-3'!$B$3:$B$14</c:f>
              <c:numCache>
                <c:formatCode>General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</c:numCache>
            </c:numRef>
          </c:xVal>
          <c:yVal>
            <c:numRef>
              <c:f>'Comparaison 1-2-3'!$D$3:$D$14</c:f>
              <c:numCache>
                <c:formatCode>0.0</c:formatCode>
                <c:ptCount val="12"/>
                <c:pt idx="0">
                  <c:v>10000</c:v>
                </c:pt>
                <c:pt idx="1">
                  <c:v>9939.2119938869237</c:v>
                </c:pt>
                <c:pt idx="2">
                  <c:v>9163.9274268383124</c:v>
                </c:pt>
                <c:pt idx="3">
                  <c:v>6581.4921945483429</c:v>
                </c:pt>
                <c:pt idx="4">
                  <c:v>4943.1586663001381</c:v>
                </c:pt>
                <c:pt idx="5">
                  <c:v>4114.2246540845681</c:v>
                </c:pt>
                <c:pt idx="6">
                  <c:v>3626.3770909577051</c:v>
                </c:pt>
                <c:pt idx="7">
                  <c:v>3271.6678554005189</c:v>
                </c:pt>
                <c:pt idx="8">
                  <c:v>2962.0223187579263</c:v>
                </c:pt>
                <c:pt idx="9">
                  <c:v>2669.1329260730322</c:v>
                </c:pt>
                <c:pt idx="10">
                  <c:v>2338.4296098716486</c:v>
                </c:pt>
                <c:pt idx="11">
                  <c:v>1948.2241705341435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61-40AF-A394-713EA15FD603}"/>
            </c:ext>
          </c:extLst>
        </c:ser>
        <c:ser>
          <c:idx val="2"/>
          <c:order val="2"/>
          <c:tx>
            <c:strRef>
              <c:f>'Comparaison 1-2-3'!$E$2</c:f>
              <c:strCache>
                <c:ptCount val="1"/>
                <c:pt idx="0">
                  <c:v>Table 3a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'Comparaison 1-2-3'!$B$3:$B$14</c:f>
              <c:numCache>
                <c:formatCode>General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</c:numCache>
            </c:numRef>
          </c:xVal>
          <c:yVal>
            <c:numRef>
              <c:f>'Comparaison 1-2-3'!$E$3:$E$14</c:f>
              <c:numCache>
                <c:formatCode>0.0</c:formatCode>
                <c:ptCount val="12"/>
                <c:pt idx="0">
                  <c:v>10000</c:v>
                </c:pt>
                <c:pt idx="1">
                  <c:v>9974.9544143665044</c:v>
                </c:pt>
                <c:pt idx="2">
                  <c:v>9243.4904298620349</c:v>
                </c:pt>
                <c:pt idx="3">
                  <c:v>6678.9401228932556</c:v>
                </c:pt>
                <c:pt idx="4">
                  <c:v>5058.5867658046109</c:v>
                </c:pt>
                <c:pt idx="5">
                  <c:v>4270.8084433456434</c:v>
                </c:pt>
                <c:pt idx="6">
                  <c:v>3849.5122382300692</c:v>
                </c:pt>
                <c:pt idx="7">
                  <c:v>3607.9346614273031</c:v>
                </c:pt>
                <c:pt idx="8">
                  <c:v>3459.8961227506716</c:v>
                </c:pt>
                <c:pt idx="9">
                  <c:v>3372.507128638953</c:v>
                </c:pt>
                <c:pt idx="10">
                  <c:v>3333.6770543950788</c:v>
                </c:pt>
                <c:pt idx="11">
                  <c:v>3295.5253346370409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61-40AF-A394-713EA15F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56857184"/>
        <c:axId val="-1556860448"/>
      </c:scatterChart>
      <c:valAx>
        <c:axId val="-1556857184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60448"/>
        <c:crosses val="autoZero"/>
        <c:crossBetween val="midCat"/>
      </c:valAx>
      <c:valAx>
        <c:axId val="-155686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57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112219451371569"/>
          <c:y val="0.23789495786710871"/>
          <c:w val="0.19950124688279303"/>
          <c:h val="0.12842127365658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7841160023029"/>
          <c:y val="5.6722689075630252E-2"/>
          <c:w val="0.80845967540149688"/>
          <c:h val="0.89285714285714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'Comparaison 1-2-3'!$N$2</c:f>
              <c:strCache>
                <c:ptCount val="1"/>
                <c:pt idx="0">
                  <c:v>Table 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'Comparaison 1-2-3'!$B$3:$B$14</c:f>
              <c:numCache>
                <c:formatCode>General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</c:numCache>
            </c:numRef>
          </c:xVal>
          <c:yVal>
            <c:numRef>
              <c:f>'Comparaison 1-2-3'!$N$3:$N$14</c:f>
              <c:numCache>
                <c:formatCode>0.00%</c:formatCode>
                <c:ptCount val="12"/>
                <c:pt idx="0">
                  <c:v>0</c:v>
                </c:pt>
                <c:pt idx="1">
                  <c:v>3.5832228552458894E-3</c:v>
                </c:pt>
                <c:pt idx="2">
                  <c:v>8.6124758643630565E-3</c:v>
                </c:pt>
                <c:pt idx="3">
                  <c:v>1.4701779458631983E-2</c:v>
                </c:pt>
                <c:pt idx="4">
                  <c:v>2.3036147017843584E-2</c:v>
                </c:pt>
                <c:pt idx="5">
                  <c:v>3.6947015345246206E-2</c:v>
                </c:pt>
                <c:pt idx="6">
                  <c:v>5.8283471112703593E-2</c:v>
                </c:pt>
                <c:pt idx="7">
                  <c:v>9.3540333186538496E-2</c:v>
                </c:pt>
                <c:pt idx="8">
                  <c:v>0.14424215534229701</c:v>
                </c:pt>
                <c:pt idx="9">
                  <c:v>0.2088960969165751</c:v>
                </c:pt>
                <c:pt idx="10">
                  <c:v>0.29885197936876651</c:v>
                </c:pt>
                <c:pt idx="11">
                  <c:v>0.40910620957253174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BB-421C-8460-4758AF97A3D5}"/>
            </c:ext>
          </c:extLst>
        </c:ser>
        <c:ser>
          <c:idx val="1"/>
          <c:order val="1"/>
          <c:tx>
            <c:strRef>
              <c:f>'Comparaison 1-2-3'!$O$2</c:f>
              <c:strCache>
                <c:ptCount val="1"/>
                <c:pt idx="0">
                  <c:v>Table 3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'Comparaison 1-2-3'!$B$3:$B$14</c:f>
              <c:numCache>
                <c:formatCode>General</c:formatCode>
                <c:ptCount val="12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</c:numCache>
            </c:numRef>
          </c:xVal>
          <c:yVal>
            <c:numRef>
              <c:f>'Comparaison 1-2-3'!$O$3:$O$14</c:f>
              <c:numCache>
                <c:formatCode>0.00%</c:formatCode>
                <c:ptCount val="12"/>
                <c:pt idx="0">
                  <c:v>0</c:v>
                </c:pt>
                <c:pt idx="1">
                  <c:v>6.45504022730172E-9</c:v>
                </c:pt>
                <c:pt idx="2">
                  <c:v>5.056260681354951E-6</c:v>
                </c:pt>
                <c:pt idx="3">
                  <c:v>1.1310145743071769E-4</c:v>
                </c:pt>
                <c:pt idx="4">
                  <c:v>2.2298473699309851E-4</c:v>
                </c:pt>
                <c:pt idx="5">
                  <c:v>2.9406168441049657E-4</c:v>
                </c:pt>
                <c:pt idx="6">
                  <c:v>3.3857153619753979E-4</c:v>
                </c:pt>
                <c:pt idx="7">
                  <c:v>3.730832016984216E-4</c:v>
                </c:pt>
                <c:pt idx="8">
                  <c:v>4.0143857314581743E-4</c:v>
                </c:pt>
                <c:pt idx="9">
                  <c:v>4.2312371146833175E-4</c:v>
                </c:pt>
                <c:pt idx="10">
                  <c:v>4.3984294179147962E-4</c:v>
                </c:pt>
                <c:pt idx="11">
                  <c:v>4.7156488180706888E-4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BB-421C-8460-4758AF97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56858272"/>
        <c:axId val="-1556859360"/>
      </c:scatterChart>
      <c:valAx>
        <c:axId val="-1556858272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59360"/>
        <c:crosses val="autoZero"/>
        <c:crossBetween val="midCat"/>
      </c:valAx>
      <c:valAx>
        <c:axId val="-155685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1556858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2898630208538"/>
          <c:y val="0.27100840336134452"/>
          <c:w val="0.19900549744714746"/>
          <c:h val="8.6134453781512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133350</xdr:colOff>
      <xdr:row>24</xdr:row>
      <xdr:rowOff>133350</xdr:rowOff>
    </xdr:from>
    <xdr:to>
      <xdr:col>20</xdr:col>
      <xdr:colOff>0</xdr:colOff>
      <xdr:row>47</xdr:row>
      <xdr:rowOff>19050</xdr:rowOff>
    </xdr:to>
    <xdr:graphicFrame macro="">
      <xdr:nvGraphicFramePr>
        <xdr:cNvPr id="1032" name="Graphique 2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0</xdr:colOff>
      <xdr:row>24</xdr:row>
      <xdr:rowOff>133350</xdr:rowOff>
    </xdr:from>
    <xdr:to>
      <xdr:col>24</xdr:col>
      <xdr:colOff>561975</xdr:colOff>
      <xdr:row>47</xdr:row>
      <xdr:rowOff>28575</xdr:rowOff>
    </xdr:to>
    <xdr:graphicFrame macro="">
      <xdr:nvGraphicFramePr>
        <xdr:cNvPr id="1033" name="Graphique 3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463550</xdr:colOff>
          <xdr:row>0</xdr:row>
          <xdr:rowOff>76200</xdr:rowOff>
        </xdr:from>
        <xdr:to>
          <xdr:col>18</xdr:col>
          <xdr:colOff>57150</xdr:colOff>
          <xdr:row>3</xdr:row>
          <xdr:rowOff>120650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107950</xdr:colOff>
          <xdr:row>0</xdr:row>
          <xdr:rowOff>63500</xdr:rowOff>
        </xdr:from>
        <xdr:to>
          <xdr:col>21</xdr:col>
          <xdr:colOff>133350</xdr:colOff>
          <xdr:row>3</xdr:row>
          <xdr:rowOff>107950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247650</xdr:colOff>
          <xdr:row>1</xdr:row>
          <xdr:rowOff>19050</xdr:rowOff>
        </xdr:from>
        <xdr:to>
          <xdr:col>32</xdr:col>
          <xdr:colOff>482600</xdr:colOff>
          <xdr:row>3</xdr:row>
          <xdr:rowOff>133350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1</xdr:row>
          <xdr:rowOff>12700</xdr:rowOff>
        </xdr:from>
        <xdr:to>
          <xdr:col>29</xdr:col>
          <xdr:colOff>158751</xdr:colOff>
          <xdr:row>3</xdr:row>
          <xdr:rowOff>133350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336550</xdr:colOff>
          <xdr:row>20</xdr:row>
          <xdr:rowOff>139700</xdr:rowOff>
        </xdr:from>
        <xdr:to>
          <xdr:col>11</xdr:col>
          <xdr:colOff>63500</xdr:colOff>
          <xdr:row>23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330200</xdr:colOff>
          <xdr:row>23</xdr:row>
          <xdr:rowOff>95250</xdr:rowOff>
        </xdr:from>
        <xdr:to>
          <xdr:col>11</xdr:col>
          <xdr:colOff>76200</xdr:colOff>
          <xdr:row>25</xdr:row>
          <xdr:rowOff>114300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33</xdr:row>
          <xdr:rowOff>152400</xdr:rowOff>
        </xdr:from>
        <xdr:to>
          <xdr:col>7</xdr:col>
          <xdr:colOff>450850</xdr:colOff>
          <xdr:row>36</xdr:row>
          <xdr:rowOff>114300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37</xdr:row>
          <xdr:rowOff>50800</xdr:rowOff>
        </xdr:from>
        <xdr:to>
          <xdr:col>7</xdr:col>
          <xdr:colOff>469900</xdr:colOff>
          <xdr:row>40</xdr:row>
          <xdr:rowOff>12700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7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95250</xdr:rowOff>
        </xdr:from>
        <xdr:to>
          <xdr:col>12</xdr:col>
          <xdr:colOff>196850</xdr:colOff>
          <xdr:row>26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26</xdr:row>
          <xdr:rowOff>139700</xdr:rowOff>
        </xdr:from>
        <xdr:to>
          <xdr:col>12</xdr:col>
          <xdr:colOff>228600</xdr:colOff>
          <xdr:row>29</xdr:row>
          <xdr:rowOff>82550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23585</xdr:colOff>
      <xdr:row>16</xdr:row>
      <xdr:rowOff>0</xdr:rowOff>
    </xdr:from>
    <xdr:to>
      <xdr:col>14</xdr:col>
      <xdr:colOff>184150</xdr:colOff>
      <xdr:row>44</xdr:row>
      <xdr:rowOff>0</xdr:rowOff>
    </xdr:to>
    <xdr:graphicFrame macro="">
      <xdr:nvGraphicFramePr>
        <xdr:cNvPr id="3082" name="Graphique 1">
          <a:extLst>
            <a:ext uri="{FF2B5EF4-FFF2-40B4-BE49-F238E27FC236}">
              <a16:creationId xmlns:a16="http://schemas.microsoft.com/office/drawing/2014/main" id="{00000000-0008-0000-0900-00000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180975</xdr:colOff>
      <xdr:row>16</xdr:row>
      <xdr:rowOff>9525</xdr:rowOff>
    </xdr:from>
    <xdr:to>
      <xdr:col>7</xdr:col>
      <xdr:colOff>582385</xdr:colOff>
      <xdr:row>44</xdr:row>
      <xdr:rowOff>0</xdr:rowOff>
    </xdr:to>
    <xdr:graphicFrame macro="">
      <xdr:nvGraphicFramePr>
        <xdr:cNvPr id="3083" name="Graphique 2">
          <a:extLst>
            <a:ext uri="{FF2B5EF4-FFF2-40B4-BE49-F238E27FC236}">
              <a16:creationId xmlns:a16="http://schemas.microsoft.com/office/drawing/2014/main" id="{00000000-0008-0000-09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269875</xdr:colOff>
      <xdr:row>15</xdr:row>
      <xdr:rowOff>158750</xdr:rowOff>
    </xdr:from>
    <xdr:to>
      <xdr:col>19</xdr:col>
      <xdr:colOff>288925</xdr:colOff>
      <xdr:row>43</xdr:row>
      <xdr:rowOff>158750</xdr:rowOff>
    </xdr:to>
    <xdr:graphicFrame macro="">
      <xdr:nvGraphicFramePr>
        <xdr:cNvPr id="3084" name="Graphique 3">
          <a:extLst>
            <a:ext uri="{FF2B5EF4-FFF2-40B4-BE49-F238E27FC236}">
              <a16:creationId xmlns:a16="http://schemas.microsoft.com/office/drawing/2014/main" id="{00000000-0008-0000-0900-00000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6.bin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5.bin"/><Relationship Id="rId9" Type="http://schemas.openxmlformats.org/officeDocument/2006/relationships/image" Target="../media/image7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10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5"/>
  <sheetViews>
    <sheetView tabSelected="1" workbookViewId="0">
      <selection activeCell="C25" sqref="C25"/>
    </sheetView>
  </sheetViews>
  <sheetFormatPr baseColWidth="10" defaultColWidth="11.36328125" defaultRowHeight="14.5" x14ac:dyDescent="0.35"/>
  <cols>
    <col min="1" max="16384" width="11.36328125" style="27"/>
  </cols>
  <sheetData>
    <row r="1" spans="2:2" x14ac:dyDescent="0.35">
      <c r="B1" s="27" t="s">
        <v>128</v>
      </c>
    </row>
    <row r="3" spans="2:2" x14ac:dyDescent="0.35">
      <c r="B3" s="28" t="s">
        <v>193</v>
      </c>
    </row>
    <row r="4" spans="2:2" x14ac:dyDescent="0.35">
      <c r="B4" s="28"/>
    </row>
    <row r="5" spans="2:2" x14ac:dyDescent="0.35">
      <c r="B5" s="28" t="s">
        <v>123</v>
      </c>
    </row>
    <row r="6" spans="2:2" x14ac:dyDescent="0.35">
      <c r="B6" s="28"/>
    </row>
    <row r="7" spans="2:2" x14ac:dyDescent="0.35">
      <c r="B7" s="28" t="s">
        <v>194</v>
      </c>
    </row>
    <row r="9" spans="2:2" x14ac:dyDescent="0.35">
      <c r="B9" s="28" t="s">
        <v>195</v>
      </c>
    </row>
    <row r="10" spans="2:2" x14ac:dyDescent="0.35">
      <c r="B10" s="28"/>
    </row>
    <row r="11" spans="2:2" x14ac:dyDescent="0.35">
      <c r="B11" s="28" t="s">
        <v>237</v>
      </c>
    </row>
    <row r="12" spans="2:2" x14ac:dyDescent="0.35">
      <c r="B12" s="28"/>
    </row>
    <row r="13" spans="2:2" x14ac:dyDescent="0.35">
      <c r="B13" s="28" t="s">
        <v>196</v>
      </c>
    </row>
    <row r="15" spans="2:2" x14ac:dyDescent="0.35">
      <c r="B15" s="27" t="s">
        <v>129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7"/>
  </sheetPr>
  <dimension ref="B1:U14"/>
  <sheetViews>
    <sheetView workbookViewId="0">
      <selection activeCell="V27" sqref="V27"/>
    </sheetView>
  </sheetViews>
  <sheetFormatPr baseColWidth="10" defaultColWidth="11.36328125" defaultRowHeight="13" x14ac:dyDescent="0.3"/>
  <cols>
    <col min="1" max="1" width="5.26953125" style="1" customWidth="1"/>
    <col min="2" max="2" width="7.54296875" style="1" customWidth="1"/>
    <col min="3" max="5" width="8.1796875" style="1" customWidth="1"/>
    <col min="6" max="6" width="7.7265625" style="1" customWidth="1"/>
    <col min="7" max="7" width="6.26953125" style="1" customWidth="1"/>
    <col min="8" max="9" width="8.54296875" style="1" customWidth="1"/>
    <col min="10" max="10" width="11.36328125" style="1"/>
    <col min="11" max="13" width="7.81640625" style="1" customWidth="1"/>
    <col min="14" max="16384" width="11.36328125" style="1"/>
  </cols>
  <sheetData>
    <row r="1" spans="2:21" x14ac:dyDescent="0.3">
      <c r="B1" s="1" t="s">
        <v>124</v>
      </c>
      <c r="H1" s="1" t="s">
        <v>162</v>
      </c>
      <c r="I1" s="188" t="s">
        <v>164</v>
      </c>
      <c r="J1" s="188"/>
      <c r="K1" s="127"/>
      <c r="M1" s="1" t="s">
        <v>162</v>
      </c>
      <c r="N1" s="188" t="s">
        <v>163</v>
      </c>
      <c r="O1" s="188"/>
    </row>
    <row r="2" spans="2:21" x14ac:dyDescent="0.3">
      <c r="C2" s="1" t="s">
        <v>158</v>
      </c>
      <c r="D2" s="1" t="s">
        <v>159</v>
      </c>
      <c r="E2" s="1" t="s">
        <v>241</v>
      </c>
      <c r="F2" s="1" t="s">
        <v>241</v>
      </c>
      <c r="H2" s="1" t="s">
        <v>158</v>
      </c>
      <c r="I2" s="1" t="s">
        <v>159</v>
      </c>
      <c r="J2" s="1" t="s">
        <v>241</v>
      </c>
      <c r="K2" s="1" t="s">
        <v>241</v>
      </c>
      <c r="M2" s="1" t="s">
        <v>158</v>
      </c>
      <c r="N2" s="1" t="s">
        <v>159</v>
      </c>
      <c r="O2" s="1" t="s">
        <v>160</v>
      </c>
      <c r="Q2" s="69"/>
      <c r="R2" s="118" t="s">
        <v>124</v>
      </c>
      <c r="S2" s="119"/>
      <c r="T2" s="118" t="s">
        <v>125</v>
      </c>
      <c r="U2" s="119"/>
    </row>
    <row r="3" spans="2:21" ht="15" x14ac:dyDescent="0.4">
      <c r="B3" s="1">
        <f>'Table 3'!J8</f>
        <v>15</v>
      </c>
      <c r="C3" s="64">
        <f>'Table 1'!M8</f>
        <v>10000</v>
      </c>
      <c r="D3" s="64">
        <f>'Table 2'!O8</f>
        <v>10000</v>
      </c>
      <c r="E3" s="64">
        <f>'Table 3'!O8</f>
        <v>10000</v>
      </c>
      <c r="F3" s="64">
        <f>'Table 3'!M38</f>
        <v>10000</v>
      </c>
      <c r="H3" s="1">
        <f t="shared" ref="H3:H14" si="0">$C3-C3</f>
        <v>0</v>
      </c>
      <c r="I3" s="63">
        <f t="shared" ref="I3:I14" si="1">$C3-D3</f>
        <v>0</v>
      </c>
      <c r="J3" s="63">
        <f t="shared" ref="J3:J14" si="2">$C3-E3</f>
        <v>0</v>
      </c>
      <c r="K3" s="63">
        <f>C3-F3</f>
        <v>0</v>
      </c>
      <c r="M3" s="67">
        <f>($C3-C3)/$C3</f>
        <v>0</v>
      </c>
      <c r="N3" s="67">
        <f t="shared" ref="N3:O14" si="3">($C3-D3)/$C3</f>
        <v>0</v>
      </c>
      <c r="O3" s="67">
        <f t="shared" si="3"/>
        <v>0</v>
      </c>
      <c r="Q3" s="70" t="s">
        <v>204</v>
      </c>
      <c r="R3" s="68" t="s">
        <v>198</v>
      </c>
      <c r="S3" s="68" t="s">
        <v>199</v>
      </c>
      <c r="T3" s="68" t="s">
        <v>198</v>
      </c>
      <c r="U3" s="68" t="s">
        <v>199</v>
      </c>
    </row>
    <row r="4" spans="2:21" x14ac:dyDescent="0.3">
      <c r="B4" s="1">
        <f>'Table 3'!J9</f>
        <v>20</v>
      </c>
      <c r="C4" s="64">
        <f>'Table 1'!M9</f>
        <v>9974.9544787552368</v>
      </c>
      <c r="D4" s="64">
        <f>'Table 2'!O9</f>
        <v>9939.2119938869237</v>
      </c>
      <c r="E4" s="64">
        <f>'Table 3'!O9</f>
        <v>9974.9544143665044</v>
      </c>
      <c r="F4" s="64">
        <f>'Table 3'!M39</f>
        <v>9974.9544787552368</v>
      </c>
      <c r="H4" s="1">
        <f t="shared" si="0"/>
        <v>0</v>
      </c>
      <c r="I4" s="63">
        <f t="shared" si="1"/>
        <v>35.742484868313113</v>
      </c>
      <c r="J4" s="63">
        <f t="shared" si="2"/>
        <v>6.4388732425868511E-5</v>
      </c>
      <c r="K4" s="63">
        <f t="shared" ref="K4:K14" si="4">C4-F4</f>
        <v>0</v>
      </c>
      <c r="M4" s="67">
        <f t="shared" ref="M4:M14" si="5">($C4-C4)/$C4</f>
        <v>0</v>
      </c>
      <c r="N4" s="67">
        <f t="shared" si="3"/>
        <v>3.5832228552458894E-3</v>
      </c>
      <c r="O4" s="67">
        <f t="shared" si="3"/>
        <v>6.45504022730172E-9</v>
      </c>
      <c r="Q4" s="69" t="s">
        <v>200</v>
      </c>
      <c r="R4" s="120">
        <f>SMAM!O23</f>
        <v>32.997782288129756</v>
      </c>
      <c r="S4" s="125">
        <f>SMAM!O21</f>
        <v>0.14189356891021065</v>
      </c>
      <c r="T4" s="120">
        <f>SMAM!P23</f>
        <v>30.952309126945192</v>
      </c>
      <c r="U4" s="125">
        <f>SMAM!P21</f>
        <v>0.10966392653318126</v>
      </c>
    </row>
    <row r="5" spans="2:21" x14ac:dyDescent="0.3">
      <c r="B5" s="1">
        <f>'Table 3'!J10</f>
        <v>25</v>
      </c>
      <c r="C5" s="64">
        <f>'Table 1'!M10</f>
        <v>9243.5371675955721</v>
      </c>
      <c r="D5" s="64">
        <f>'Table 2'!O10</f>
        <v>9163.9274268383124</v>
      </c>
      <c r="E5" s="64">
        <f>'Table 3'!O10</f>
        <v>9243.4904298620349</v>
      </c>
      <c r="F5" s="64">
        <f>'Table 3'!M40</f>
        <v>9243.5371675955721</v>
      </c>
      <c r="H5" s="1">
        <f t="shared" si="0"/>
        <v>0</v>
      </c>
      <c r="I5" s="63">
        <f t="shared" si="1"/>
        <v>79.609740757259715</v>
      </c>
      <c r="J5" s="63">
        <f t="shared" si="2"/>
        <v>4.6737733537156601E-2</v>
      </c>
      <c r="K5" s="63">
        <f t="shared" si="4"/>
        <v>0</v>
      </c>
      <c r="M5" s="67">
        <f t="shared" si="5"/>
        <v>0</v>
      </c>
      <c r="N5" s="67">
        <f t="shared" si="3"/>
        <v>8.6124758643630565E-3</v>
      </c>
      <c r="O5" s="67">
        <f t="shared" si="3"/>
        <v>5.056260681354951E-6</v>
      </c>
      <c r="Q5" s="4" t="s">
        <v>201</v>
      </c>
      <c r="R5" s="121">
        <f>'Table 1'!M21</f>
        <v>31.133126596856435</v>
      </c>
      <c r="S5" s="122">
        <f>'Table 1'!M20</f>
        <v>0.36092812236220423</v>
      </c>
      <c r="T5" s="121">
        <f>'Table 2'!W21</f>
        <v>29.141874995062224</v>
      </c>
      <c r="U5" s="122">
        <f>'Table 2'!W20</f>
        <v>0.31543649621323605</v>
      </c>
    </row>
    <row r="6" spans="2:21" x14ac:dyDescent="0.3">
      <c r="B6" s="1">
        <f>'Table 3'!J11</f>
        <v>30</v>
      </c>
      <c r="C6" s="64">
        <f>'Table 1'!M11</f>
        <v>6679.6956062015106</v>
      </c>
      <c r="D6" s="64">
        <f>'Table 2'!O11</f>
        <v>6581.4921945483429</v>
      </c>
      <c r="E6" s="64">
        <f>'Table 3'!O11</f>
        <v>6678.9401228932556</v>
      </c>
      <c r="F6" s="64">
        <f>'Table 3'!M41</f>
        <v>6679.6956062015106</v>
      </c>
      <c r="H6" s="1">
        <f t="shared" si="0"/>
        <v>0</v>
      </c>
      <c r="I6" s="63">
        <f t="shared" si="1"/>
        <v>98.203411653167677</v>
      </c>
      <c r="J6" s="63">
        <f t="shared" si="2"/>
        <v>0.75548330825495214</v>
      </c>
      <c r="K6" s="63">
        <f t="shared" si="4"/>
        <v>0</v>
      </c>
      <c r="M6" s="67">
        <f t="shared" si="5"/>
        <v>0</v>
      </c>
      <c r="N6" s="67">
        <f t="shared" si="3"/>
        <v>1.4701779458631983E-2</v>
      </c>
      <c r="O6" s="67">
        <f t="shared" si="3"/>
        <v>1.1310145743071769E-4</v>
      </c>
      <c r="Q6" s="4" t="s">
        <v>202</v>
      </c>
      <c r="R6" s="121">
        <f>'Table 2'!O21</f>
        <v>31.042391415431482</v>
      </c>
      <c r="S6" s="122">
        <f>'Table 2'!O20</f>
        <v>0.32716678554005191</v>
      </c>
      <c r="T6" s="121">
        <f>'Table 2'!W21</f>
        <v>29.141874995062224</v>
      </c>
      <c r="U6" s="122">
        <f>'Table 2'!W20</f>
        <v>0.31543649621323605</v>
      </c>
    </row>
    <row r="7" spans="2:21" x14ac:dyDescent="0.3">
      <c r="B7" s="1">
        <f>'Table 3'!J12</f>
        <v>35</v>
      </c>
      <c r="C7" s="64">
        <f>'Table 1'!M12</f>
        <v>5059.7150050242662</v>
      </c>
      <c r="D7" s="64">
        <f>'Table 2'!O12</f>
        <v>4943.1586663001381</v>
      </c>
      <c r="E7" s="64">
        <f>'Table 3'!O12</f>
        <v>5058.5867658046109</v>
      </c>
      <c r="F7" s="64">
        <f>'Table 3'!M42</f>
        <v>5059.7150050242662</v>
      </c>
      <c r="H7" s="1">
        <f t="shared" si="0"/>
        <v>0</v>
      </c>
      <c r="I7" s="63">
        <f t="shared" si="1"/>
        <v>116.55633872412818</v>
      </c>
      <c r="J7" s="63">
        <f t="shared" si="2"/>
        <v>1.1282392196553701</v>
      </c>
      <c r="K7" s="63">
        <f t="shared" si="4"/>
        <v>0</v>
      </c>
      <c r="M7" s="67">
        <f t="shared" si="5"/>
        <v>0</v>
      </c>
      <c r="N7" s="67">
        <f t="shared" si="3"/>
        <v>2.3036147017843584E-2</v>
      </c>
      <c r="O7" s="67">
        <f t="shared" si="3"/>
        <v>2.2298473699309851E-4</v>
      </c>
      <c r="Q7" s="70" t="s">
        <v>203</v>
      </c>
      <c r="R7" s="123">
        <f>'Table 3'!O21</f>
        <v>31.133061868724578</v>
      </c>
      <c r="S7" s="124">
        <f>'Table 3'!O20</f>
        <v>0.36079346614273033</v>
      </c>
      <c r="T7" s="123">
        <f>'Table 3'!X21</f>
        <v>29.176843722605444</v>
      </c>
      <c r="U7" s="124">
        <f>'Table 3'!X20</f>
        <v>0.32819830147714452</v>
      </c>
    </row>
    <row r="8" spans="2:21" x14ac:dyDescent="0.3">
      <c r="B8" s="1">
        <f>'Table 3'!J13</f>
        <v>40</v>
      </c>
      <c r="C8" s="64">
        <f>'Table 1'!M13</f>
        <v>4272.0646938854379</v>
      </c>
      <c r="D8" s="64">
        <f>'Table 2'!O13</f>
        <v>4114.2246540845681</v>
      </c>
      <c r="E8" s="64">
        <f>'Table 3'!O13</f>
        <v>4270.8084433456434</v>
      </c>
      <c r="F8" s="64">
        <f>'Table 3'!M43</f>
        <v>4272.0646938854379</v>
      </c>
      <c r="H8" s="1">
        <f t="shared" si="0"/>
        <v>0</v>
      </c>
      <c r="I8" s="63">
        <f t="shared" si="1"/>
        <v>157.84003980086982</v>
      </c>
      <c r="J8" s="63">
        <f t="shared" si="2"/>
        <v>1.2562505397945642</v>
      </c>
      <c r="K8" s="63">
        <f t="shared" si="4"/>
        <v>0</v>
      </c>
      <c r="M8" s="67">
        <f t="shared" si="5"/>
        <v>0</v>
      </c>
      <c r="N8" s="67">
        <f t="shared" si="3"/>
        <v>3.6947015345246206E-2</v>
      </c>
      <c r="O8" s="67">
        <f t="shared" si="3"/>
        <v>2.9406168441049657E-4</v>
      </c>
    </row>
    <row r="9" spans="2:21" ht="15" x14ac:dyDescent="0.4">
      <c r="B9" s="1">
        <f>'Table 3'!J14</f>
        <v>45</v>
      </c>
      <c r="C9" s="64">
        <f>'Table 1'!M14</f>
        <v>3850.8160149238561</v>
      </c>
      <c r="D9" s="64">
        <f>'Table 2'!O14</f>
        <v>3626.3770909577051</v>
      </c>
      <c r="E9" s="64">
        <f>'Table 3'!O14</f>
        <v>3849.5122382300692</v>
      </c>
      <c r="F9" s="64">
        <f>'Table 3'!M44</f>
        <v>3850.8160149238561</v>
      </c>
      <c r="H9" s="1">
        <f t="shared" si="0"/>
        <v>0</v>
      </c>
      <c r="I9" s="63">
        <f t="shared" si="1"/>
        <v>224.43892396615092</v>
      </c>
      <c r="J9" s="63">
        <f t="shared" si="2"/>
        <v>1.3037766937868582</v>
      </c>
      <c r="K9" s="63">
        <f t="shared" si="4"/>
        <v>0</v>
      </c>
      <c r="M9" s="67">
        <f t="shared" si="5"/>
        <v>0</v>
      </c>
      <c r="N9" s="67">
        <f t="shared" si="3"/>
        <v>5.8283471112703593E-2</v>
      </c>
      <c r="O9" s="67">
        <f t="shared" si="3"/>
        <v>3.3857153619753979E-4</v>
      </c>
      <c r="Q9" s="126" t="s">
        <v>205</v>
      </c>
    </row>
    <row r="10" spans="2:21" x14ac:dyDescent="0.3">
      <c r="B10" s="1">
        <f>'Table 3'!J15</f>
        <v>50</v>
      </c>
      <c r="C10" s="64">
        <f>'Table 1'!M15</f>
        <v>3609.281223622042</v>
      </c>
      <c r="D10" s="64">
        <f>'Table 2'!O15</f>
        <v>3271.6678554005189</v>
      </c>
      <c r="E10" s="64">
        <f>'Table 3'!O15</f>
        <v>3607.9346614273031</v>
      </c>
      <c r="F10" s="64">
        <f>'Table 3'!M45</f>
        <v>3609.281223622042</v>
      </c>
      <c r="H10" s="1">
        <f t="shared" si="0"/>
        <v>0</v>
      </c>
      <c r="I10" s="63">
        <f t="shared" si="1"/>
        <v>337.61336822152316</v>
      </c>
      <c r="J10" s="63">
        <f t="shared" si="2"/>
        <v>1.3465621947389081</v>
      </c>
      <c r="K10" s="63">
        <f t="shared" si="4"/>
        <v>0</v>
      </c>
      <c r="M10" s="67">
        <f t="shared" si="5"/>
        <v>0</v>
      </c>
      <c r="N10" s="67">
        <f t="shared" si="3"/>
        <v>9.3540333186538496E-2</v>
      </c>
      <c r="O10" s="67">
        <f t="shared" si="3"/>
        <v>3.730832016984216E-4</v>
      </c>
    </row>
    <row r="11" spans="2:21" x14ac:dyDescent="0.3">
      <c r="B11" s="1">
        <f>'Table 3'!J16</f>
        <v>55</v>
      </c>
      <c r="C11" s="64">
        <f>'Table 1'!M16</f>
        <v>3461.2856163097331</v>
      </c>
      <c r="D11" s="64">
        <f>'Table 2'!O16</f>
        <v>2962.0223187579263</v>
      </c>
      <c r="E11" s="64">
        <f>'Table 3'!O16</f>
        <v>3459.8961227506716</v>
      </c>
      <c r="F11" s="64">
        <f>'Table 3'!M46</f>
        <v>3461.2856163097331</v>
      </c>
      <c r="H11" s="1">
        <f t="shared" si="0"/>
        <v>0</v>
      </c>
      <c r="I11" s="63">
        <f t="shared" si="1"/>
        <v>499.26329755180677</v>
      </c>
      <c r="J11" s="63">
        <f t="shared" si="2"/>
        <v>1.3894935590615205</v>
      </c>
      <c r="K11" s="63">
        <f t="shared" si="4"/>
        <v>0</v>
      </c>
      <c r="M11" s="67">
        <f t="shared" si="5"/>
        <v>0</v>
      </c>
      <c r="N11" s="67">
        <f t="shared" si="3"/>
        <v>0.14424215534229701</v>
      </c>
      <c r="O11" s="67">
        <f>($C11-E11)/$C11</f>
        <v>4.0143857314581743E-4</v>
      </c>
    </row>
    <row r="12" spans="2:21" x14ac:dyDescent="0.3">
      <c r="B12" s="1">
        <f>'Table 3'!J17</f>
        <v>60</v>
      </c>
      <c r="C12" s="64">
        <f>'Table 1'!M17</f>
        <v>3373.934720420109</v>
      </c>
      <c r="D12" s="64">
        <f>'Table 2'!O17</f>
        <v>2669.1329260730322</v>
      </c>
      <c r="E12" s="64">
        <f>'Table 3'!O17</f>
        <v>3372.507128638953</v>
      </c>
      <c r="F12" s="64">
        <f>'Table 3'!M47</f>
        <v>3373.934720420109</v>
      </c>
      <c r="H12" s="1">
        <f t="shared" si="0"/>
        <v>0</v>
      </c>
      <c r="I12" s="63">
        <f t="shared" si="1"/>
        <v>704.80179434707679</v>
      </c>
      <c r="J12" s="63">
        <f t="shared" si="2"/>
        <v>1.4275917811560248</v>
      </c>
      <c r="K12" s="63">
        <f t="shared" si="4"/>
        <v>0</v>
      </c>
      <c r="M12" s="67">
        <f t="shared" si="5"/>
        <v>0</v>
      </c>
      <c r="N12" s="67">
        <f t="shared" si="3"/>
        <v>0.2088960969165751</v>
      </c>
      <c r="O12" s="67">
        <f t="shared" si="3"/>
        <v>4.2312371146833175E-4</v>
      </c>
    </row>
    <row r="13" spans="2:21" x14ac:dyDescent="0.3">
      <c r="B13" s="1">
        <f>'Table 3'!J18</f>
        <v>65</v>
      </c>
      <c r="C13" s="64">
        <f>'Table 1'!M18</f>
        <v>3335.1439939406719</v>
      </c>
      <c r="D13" s="64">
        <f>'Table 2'!O18</f>
        <v>2338.4296098716486</v>
      </c>
      <c r="E13" s="64">
        <f>'Table 3'!O18</f>
        <v>3333.6770543950788</v>
      </c>
      <c r="F13" s="64">
        <f>'Table 3'!M48</f>
        <v>3335.1439939406719</v>
      </c>
      <c r="H13" s="1">
        <f t="shared" si="0"/>
        <v>0</v>
      </c>
      <c r="I13" s="63">
        <f t="shared" si="1"/>
        <v>996.71438406902325</v>
      </c>
      <c r="J13" s="63">
        <f t="shared" si="2"/>
        <v>1.4669395455930498</v>
      </c>
      <c r="K13" s="63">
        <f t="shared" si="4"/>
        <v>0</v>
      </c>
      <c r="M13" s="67">
        <f t="shared" si="5"/>
        <v>0</v>
      </c>
      <c r="N13" s="67">
        <f t="shared" si="3"/>
        <v>0.29885197936876651</v>
      </c>
      <c r="O13" s="67">
        <f t="shared" si="3"/>
        <v>4.3984294179147962E-4</v>
      </c>
    </row>
    <row r="14" spans="2:21" x14ac:dyDescent="0.3">
      <c r="B14" s="1">
        <f>'Table 3'!J19</f>
        <v>70</v>
      </c>
      <c r="C14" s="64">
        <f>'Table 1'!M19</f>
        <v>3297.0801218350025</v>
      </c>
      <c r="D14" s="64">
        <f>'Table 2'!O19</f>
        <v>1948.2241705341435</v>
      </c>
      <c r="E14" s="64">
        <f>'Table 3'!O19</f>
        <v>3295.5253346370409</v>
      </c>
      <c r="F14" s="64">
        <f>'Table 3'!M49</f>
        <v>3297.0801218350025</v>
      </c>
      <c r="H14" s="1">
        <f t="shared" si="0"/>
        <v>0</v>
      </c>
      <c r="I14" s="63">
        <f t="shared" si="1"/>
        <v>1348.855951300859</v>
      </c>
      <c r="J14" s="63">
        <f t="shared" si="2"/>
        <v>1.5547871979615593</v>
      </c>
      <c r="K14" s="63">
        <f t="shared" si="4"/>
        <v>0</v>
      </c>
      <c r="M14" s="67">
        <f t="shared" si="5"/>
        <v>0</v>
      </c>
      <c r="N14" s="67">
        <f t="shared" si="3"/>
        <v>0.40910620957253174</v>
      </c>
      <c r="O14" s="67">
        <f t="shared" si="3"/>
        <v>4.7156488180706888E-4</v>
      </c>
    </row>
  </sheetData>
  <mergeCells count="2">
    <mergeCell ref="N1:O1"/>
    <mergeCell ref="I1:J1"/>
  </mergeCells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zoomScaleSheetLayoutView="4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R23" sqref="R23"/>
    </sheetView>
  </sheetViews>
  <sheetFormatPr baseColWidth="10" defaultColWidth="11.54296875" defaultRowHeight="13" x14ac:dyDescent="0.3"/>
  <cols>
    <col min="1" max="1" width="11.26953125" style="1" customWidth="1"/>
    <col min="2" max="2" width="12.26953125" style="1" customWidth="1"/>
    <col min="3" max="4" width="8.1796875" style="1" customWidth="1"/>
    <col min="5" max="5" width="7.1796875" style="1" customWidth="1"/>
    <col min="6" max="6" width="8.1796875" style="1" customWidth="1"/>
    <col min="7" max="7" width="7.1796875" style="1" customWidth="1"/>
    <col min="8" max="9" width="8.1796875" style="1" customWidth="1"/>
    <col min="10" max="10" width="7.1796875" style="1" customWidth="1"/>
    <col min="11" max="11" width="7.36328125" style="1" customWidth="1"/>
    <col min="12" max="12" width="8.1796875" style="1" customWidth="1"/>
    <col min="13" max="13" width="9.1796875" style="1" customWidth="1"/>
    <col min="14" max="16384" width="11.54296875" style="1"/>
  </cols>
  <sheetData>
    <row r="1" spans="1:13" x14ac:dyDescent="0.3">
      <c r="A1" s="1" t="s">
        <v>42</v>
      </c>
    </row>
    <row r="2" spans="1:13" x14ac:dyDescent="0.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">
      <c r="A4" s="6" t="s">
        <v>0</v>
      </c>
      <c r="B4" s="7" t="s">
        <v>1</v>
      </c>
      <c r="C4" s="6" t="s">
        <v>2</v>
      </c>
      <c r="D4" s="16" t="s">
        <v>3</v>
      </c>
      <c r="E4" s="17"/>
      <c r="F4" s="17"/>
      <c r="G4" s="17"/>
      <c r="H4" s="18"/>
      <c r="I4" s="176" t="s">
        <v>4</v>
      </c>
      <c r="J4" s="177"/>
      <c r="K4" s="177"/>
      <c r="L4" s="177"/>
      <c r="M4" s="178"/>
    </row>
    <row r="5" spans="1:13" x14ac:dyDescent="0.3">
      <c r="A5" s="6" t="s">
        <v>5</v>
      </c>
      <c r="B5" s="7" t="s">
        <v>67</v>
      </c>
      <c r="C5" s="6" t="s">
        <v>6</v>
      </c>
      <c r="D5" s="5"/>
      <c r="E5" s="6" t="s">
        <v>7</v>
      </c>
      <c r="F5" s="5"/>
      <c r="G5" s="15"/>
      <c r="H5" s="5"/>
      <c r="I5" s="15"/>
      <c r="J5" s="7" t="s">
        <v>7</v>
      </c>
      <c r="K5" s="15"/>
      <c r="L5" s="5"/>
      <c r="M5" s="4"/>
    </row>
    <row r="6" spans="1:13" x14ac:dyDescent="0.3">
      <c r="A6" s="6" t="s">
        <v>8</v>
      </c>
      <c r="B6" s="7" t="s">
        <v>41</v>
      </c>
      <c r="C6" s="6" t="s">
        <v>9</v>
      </c>
      <c r="D6" s="7" t="s">
        <v>10</v>
      </c>
      <c r="E6" s="6" t="s">
        <v>11</v>
      </c>
      <c r="F6" s="7" t="s">
        <v>12</v>
      </c>
      <c r="G6" s="6" t="s">
        <v>13</v>
      </c>
      <c r="H6" s="7" t="s">
        <v>14</v>
      </c>
      <c r="I6" s="6" t="s">
        <v>10</v>
      </c>
      <c r="J6" s="7" t="s">
        <v>11</v>
      </c>
      <c r="K6" s="6" t="s">
        <v>15</v>
      </c>
      <c r="L6" s="7" t="s">
        <v>16</v>
      </c>
      <c r="M6" s="6" t="s">
        <v>17</v>
      </c>
    </row>
    <row r="7" spans="1:13" x14ac:dyDescent="0.3">
      <c r="A7" s="8" t="s">
        <v>99</v>
      </c>
      <c r="B7" s="8" t="s">
        <v>18</v>
      </c>
      <c r="C7" s="9">
        <v>3444</v>
      </c>
      <c r="D7" s="9">
        <v>1960</v>
      </c>
      <c r="E7" s="9">
        <v>1960</v>
      </c>
      <c r="F7" s="9">
        <v>0</v>
      </c>
      <c r="G7" s="9">
        <v>0</v>
      </c>
      <c r="H7" s="9">
        <v>0</v>
      </c>
      <c r="I7" s="9">
        <v>1484</v>
      </c>
      <c r="J7" s="9">
        <v>1484</v>
      </c>
      <c r="K7" s="9">
        <v>0</v>
      </c>
      <c r="L7" s="9">
        <v>0</v>
      </c>
      <c r="M7" s="9">
        <v>0</v>
      </c>
    </row>
    <row r="8" spans="1:13" x14ac:dyDescent="0.3">
      <c r="A8" s="10" t="s">
        <v>100</v>
      </c>
      <c r="B8" s="10" t="s">
        <v>19</v>
      </c>
      <c r="C8" s="11">
        <v>761</v>
      </c>
      <c r="D8" s="11">
        <v>426</v>
      </c>
      <c r="E8" s="11">
        <v>426</v>
      </c>
      <c r="F8" s="11">
        <v>0</v>
      </c>
      <c r="G8" s="11">
        <v>0</v>
      </c>
      <c r="H8" s="11">
        <v>0</v>
      </c>
      <c r="I8" s="11">
        <v>335</v>
      </c>
      <c r="J8" s="11">
        <v>335</v>
      </c>
      <c r="K8" s="11">
        <v>0</v>
      </c>
      <c r="L8" s="11">
        <v>0</v>
      </c>
      <c r="M8" s="11">
        <v>0</v>
      </c>
    </row>
    <row r="9" spans="1:13" x14ac:dyDescent="0.3">
      <c r="A9" s="10" t="s">
        <v>101</v>
      </c>
      <c r="B9" s="10" t="s">
        <v>20</v>
      </c>
      <c r="C9" s="11">
        <v>416</v>
      </c>
      <c r="D9" s="11">
        <v>251</v>
      </c>
      <c r="E9" s="11">
        <v>251</v>
      </c>
      <c r="F9" s="11">
        <v>0</v>
      </c>
      <c r="G9" s="11">
        <v>0</v>
      </c>
      <c r="H9" s="11">
        <v>0</v>
      </c>
      <c r="I9" s="11">
        <v>165</v>
      </c>
      <c r="J9" s="11">
        <v>165</v>
      </c>
      <c r="K9" s="11">
        <v>0</v>
      </c>
      <c r="L9" s="11">
        <v>0</v>
      </c>
      <c r="M9" s="11">
        <v>0</v>
      </c>
    </row>
    <row r="10" spans="1:13" x14ac:dyDescent="0.3">
      <c r="A10" s="10" t="s">
        <v>102</v>
      </c>
      <c r="B10" s="10" t="s">
        <v>21</v>
      </c>
      <c r="C10" s="11">
        <v>603</v>
      </c>
      <c r="D10" s="11">
        <v>362</v>
      </c>
      <c r="E10" s="11">
        <v>362</v>
      </c>
      <c r="F10" s="11">
        <v>0</v>
      </c>
      <c r="G10" s="11">
        <v>0</v>
      </c>
      <c r="H10" s="11">
        <v>0</v>
      </c>
      <c r="I10" s="11">
        <v>241</v>
      </c>
      <c r="J10" s="11">
        <v>235</v>
      </c>
      <c r="K10" s="11">
        <v>2</v>
      </c>
      <c r="L10" s="11">
        <v>4</v>
      </c>
      <c r="M10" s="11">
        <v>0</v>
      </c>
    </row>
    <row r="11" spans="1:13" x14ac:dyDescent="0.3">
      <c r="A11" s="10" t="s">
        <v>103</v>
      </c>
      <c r="B11" s="10" t="s">
        <v>22</v>
      </c>
      <c r="C11" s="11">
        <v>2001</v>
      </c>
      <c r="D11" s="11">
        <v>1434</v>
      </c>
      <c r="E11" s="11">
        <v>1420</v>
      </c>
      <c r="F11" s="11">
        <v>8</v>
      </c>
      <c r="G11" s="11">
        <v>5</v>
      </c>
      <c r="H11" s="11">
        <v>1</v>
      </c>
      <c r="I11" s="11">
        <v>567</v>
      </c>
      <c r="J11" s="11">
        <v>547</v>
      </c>
      <c r="K11" s="11">
        <v>10</v>
      </c>
      <c r="L11" s="11">
        <v>7</v>
      </c>
      <c r="M11" s="11">
        <v>3</v>
      </c>
    </row>
    <row r="12" spans="1:13" x14ac:dyDescent="0.3">
      <c r="A12" s="10" t="s">
        <v>104</v>
      </c>
      <c r="B12" s="10" t="s">
        <v>23</v>
      </c>
      <c r="C12" s="11">
        <v>2637</v>
      </c>
      <c r="D12" s="11">
        <v>1986</v>
      </c>
      <c r="E12" s="11">
        <v>1935</v>
      </c>
      <c r="F12" s="11">
        <v>42</v>
      </c>
      <c r="G12" s="11">
        <v>6</v>
      </c>
      <c r="H12" s="11">
        <v>3</v>
      </c>
      <c r="I12" s="11">
        <v>651</v>
      </c>
      <c r="J12" s="11">
        <v>605</v>
      </c>
      <c r="K12" s="11">
        <v>39</v>
      </c>
      <c r="L12" s="11">
        <v>5</v>
      </c>
      <c r="M12" s="11">
        <v>2</v>
      </c>
    </row>
    <row r="13" spans="1:13" x14ac:dyDescent="0.3">
      <c r="A13" s="10" t="s">
        <v>105</v>
      </c>
      <c r="B13" s="10" t="s">
        <v>24</v>
      </c>
      <c r="C13" s="11">
        <v>2995</v>
      </c>
      <c r="D13" s="11">
        <v>2225</v>
      </c>
      <c r="E13" s="11">
        <v>1873</v>
      </c>
      <c r="F13" s="11">
        <v>313</v>
      </c>
      <c r="G13" s="11">
        <v>15</v>
      </c>
      <c r="H13" s="11">
        <v>24</v>
      </c>
      <c r="I13" s="11">
        <v>770</v>
      </c>
      <c r="J13" s="11">
        <v>563</v>
      </c>
      <c r="K13" s="11">
        <v>178</v>
      </c>
      <c r="L13" s="11">
        <v>9</v>
      </c>
      <c r="M13" s="11">
        <v>20</v>
      </c>
    </row>
    <row r="14" spans="1:13" x14ac:dyDescent="0.3">
      <c r="A14" s="10" t="s">
        <v>106</v>
      </c>
      <c r="B14" s="10" t="s">
        <v>25</v>
      </c>
      <c r="C14" s="11">
        <v>3775</v>
      </c>
      <c r="D14" s="11">
        <v>2679</v>
      </c>
      <c r="E14" s="11">
        <v>1836</v>
      </c>
      <c r="F14" s="11">
        <v>706</v>
      </c>
      <c r="G14" s="11">
        <v>10</v>
      </c>
      <c r="H14" s="11">
        <v>127</v>
      </c>
      <c r="I14" s="11">
        <v>1096</v>
      </c>
      <c r="J14" s="11">
        <v>599</v>
      </c>
      <c r="K14" s="11">
        <v>403</v>
      </c>
      <c r="L14" s="11">
        <v>18</v>
      </c>
      <c r="M14" s="11">
        <v>76</v>
      </c>
    </row>
    <row r="15" spans="1:13" x14ac:dyDescent="0.3">
      <c r="A15" s="10" t="s">
        <v>107</v>
      </c>
      <c r="B15" s="10" t="s">
        <v>28</v>
      </c>
      <c r="C15" s="11">
        <v>5939</v>
      </c>
      <c r="D15" s="11">
        <v>4008</v>
      </c>
      <c r="E15" s="11">
        <v>2238</v>
      </c>
      <c r="F15" s="11">
        <v>1374</v>
      </c>
      <c r="G15" s="11">
        <v>30</v>
      </c>
      <c r="H15" s="11">
        <v>366</v>
      </c>
      <c r="I15" s="11">
        <v>1931</v>
      </c>
      <c r="J15" s="11">
        <v>771</v>
      </c>
      <c r="K15" s="11">
        <v>897</v>
      </c>
      <c r="L15" s="11">
        <v>37</v>
      </c>
      <c r="M15" s="11">
        <v>226</v>
      </c>
    </row>
    <row r="16" spans="1:13" x14ac:dyDescent="0.3">
      <c r="A16" s="10" t="s">
        <v>108</v>
      </c>
      <c r="B16" s="10" t="s">
        <v>29</v>
      </c>
      <c r="C16" s="11">
        <v>9170</v>
      </c>
      <c r="D16" s="11">
        <v>6216</v>
      </c>
      <c r="E16" s="11">
        <v>2382</v>
      </c>
      <c r="F16" s="11">
        <v>2651</v>
      </c>
      <c r="G16" s="11">
        <v>81</v>
      </c>
      <c r="H16" s="11">
        <v>1102</v>
      </c>
      <c r="I16" s="11">
        <v>2954</v>
      </c>
      <c r="J16" s="11">
        <v>752</v>
      </c>
      <c r="K16" s="11">
        <v>1535</v>
      </c>
      <c r="L16" s="11">
        <v>107</v>
      </c>
      <c r="M16" s="11">
        <v>560</v>
      </c>
    </row>
    <row r="17" spans="1:13" x14ac:dyDescent="0.3">
      <c r="A17" s="10" t="s">
        <v>109</v>
      </c>
      <c r="B17" s="10" t="s">
        <v>30</v>
      </c>
      <c r="C17" s="11">
        <v>14344</v>
      </c>
      <c r="D17" s="11">
        <v>9889</v>
      </c>
      <c r="E17" s="11">
        <v>2647</v>
      </c>
      <c r="F17" s="11">
        <v>4856</v>
      </c>
      <c r="G17" s="11">
        <v>184</v>
      </c>
      <c r="H17" s="11">
        <v>2202</v>
      </c>
      <c r="I17" s="11">
        <v>4455</v>
      </c>
      <c r="J17" s="11">
        <v>835</v>
      </c>
      <c r="K17" s="11">
        <v>2486</v>
      </c>
      <c r="L17" s="11">
        <v>210</v>
      </c>
      <c r="M17" s="11">
        <v>924</v>
      </c>
    </row>
    <row r="18" spans="1:13" x14ac:dyDescent="0.3">
      <c r="A18" s="52" t="s">
        <v>110</v>
      </c>
      <c r="B18" s="52" t="s">
        <v>31</v>
      </c>
      <c r="C18" s="53">
        <v>19864</v>
      </c>
      <c r="D18" s="53">
        <v>13984</v>
      </c>
      <c r="E18" s="53">
        <v>2782</v>
      </c>
      <c r="F18" s="53">
        <v>7886</v>
      </c>
      <c r="G18" s="53">
        <v>345</v>
      </c>
      <c r="H18" s="53">
        <v>2971</v>
      </c>
      <c r="I18" s="53">
        <v>5880</v>
      </c>
      <c r="J18" s="53">
        <v>870</v>
      </c>
      <c r="K18" s="53">
        <v>3436</v>
      </c>
      <c r="L18" s="53">
        <v>476</v>
      </c>
      <c r="M18" s="53">
        <v>1098</v>
      </c>
    </row>
    <row r="19" spans="1:13" x14ac:dyDescent="0.3">
      <c r="A19" s="10" t="s">
        <v>111</v>
      </c>
      <c r="B19" s="10" t="s">
        <v>32</v>
      </c>
      <c r="C19" s="11">
        <v>19655</v>
      </c>
      <c r="D19" s="11">
        <v>13748</v>
      </c>
      <c r="E19" s="11">
        <v>2106</v>
      </c>
      <c r="F19" s="11">
        <v>8629</v>
      </c>
      <c r="G19" s="11">
        <v>518</v>
      </c>
      <c r="H19" s="11">
        <v>2495</v>
      </c>
      <c r="I19" s="11">
        <v>5907</v>
      </c>
      <c r="J19" s="11">
        <v>715</v>
      </c>
      <c r="K19" s="11">
        <v>3623</v>
      </c>
      <c r="L19" s="11">
        <v>718</v>
      </c>
      <c r="M19" s="11">
        <v>851</v>
      </c>
    </row>
    <row r="20" spans="1:13" x14ac:dyDescent="0.3">
      <c r="A20" s="10" t="s">
        <v>112</v>
      </c>
      <c r="B20" s="10" t="s">
        <v>33</v>
      </c>
      <c r="C20" s="11">
        <v>24655</v>
      </c>
      <c r="D20" s="11">
        <v>17155</v>
      </c>
      <c r="E20" s="11">
        <v>2543</v>
      </c>
      <c r="F20" s="11">
        <v>11417</v>
      </c>
      <c r="G20" s="11">
        <v>1008</v>
      </c>
      <c r="H20" s="11">
        <v>2187</v>
      </c>
      <c r="I20" s="11">
        <v>7500</v>
      </c>
      <c r="J20" s="11">
        <v>748</v>
      </c>
      <c r="K20" s="11">
        <v>4427</v>
      </c>
      <c r="L20" s="11">
        <v>1520</v>
      </c>
      <c r="M20" s="11">
        <v>805</v>
      </c>
    </row>
    <row r="21" spans="1:13" x14ac:dyDescent="0.3">
      <c r="A21" s="10" t="s">
        <v>113</v>
      </c>
      <c r="B21" s="10" t="s">
        <v>34</v>
      </c>
      <c r="C21" s="11">
        <v>37638</v>
      </c>
      <c r="D21" s="11">
        <v>25485</v>
      </c>
      <c r="E21" s="11">
        <v>3626</v>
      </c>
      <c r="F21" s="11">
        <v>17599</v>
      </c>
      <c r="G21" s="11">
        <v>2072</v>
      </c>
      <c r="H21" s="11">
        <v>2188</v>
      </c>
      <c r="I21" s="11">
        <v>12153</v>
      </c>
      <c r="J21" s="11">
        <v>1127</v>
      </c>
      <c r="K21" s="11">
        <v>6307</v>
      </c>
      <c r="L21" s="11">
        <v>3688</v>
      </c>
      <c r="M21" s="11">
        <v>1031</v>
      </c>
    </row>
    <row r="22" spans="1:13" x14ac:dyDescent="0.3">
      <c r="A22" s="10" t="s">
        <v>114</v>
      </c>
      <c r="B22" s="10" t="s">
        <v>35</v>
      </c>
      <c r="C22" s="11">
        <v>54563</v>
      </c>
      <c r="D22" s="11">
        <v>34548</v>
      </c>
      <c r="E22" s="11">
        <v>4047</v>
      </c>
      <c r="F22" s="11">
        <v>24388</v>
      </c>
      <c r="G22" s="11">
        <v>4126</v>
      </c>
      <c r="H22" s="11">
        <v>1987</v>
      </c>
      <c r="I22" s="11">
        <v>20015</v>
      </c>
      <c r="J22" s="11">
        <v>1808</v>
      </c>
      <c r="K22" s="11">
        <v>8557</v>
      </c>
      <c r="L22" s="11">
        <v>8445</v>
      </c>
      <c r="M22" s="11">
        <v>1205</v>
      </c>
    </row>
    <row r="23" spans="1:13" x14ac:dyDescent="0.3">
      <c r="A23" s="10" t="s">
        <v>115</v>
      </c>
      <c r="B23" s="10" t="s">
        <v>36</v>
      </c>
      <c r="C23" s="11">
        <v>74799</v>
      </c>
      <c r="D23" s="11">
        <v>42457</v>
      </c>
      <c r="E23" s="11">
        <v>4133</v>
      </c>
      <c r="F23" s="11">
        <v>29625</v>
      </c>
      <c r="G23" s="11">
        <v>7108</v>
      </c>
      <c r="H23" s="11">
        <v>1591</v>
      </c>
      <c r="I23" s="11">
        <v>32342</v>
      </c>
      <c r="J23" s="11">
        <v>3017</v>
      </c>
      <c r="K23" s="11">
        <v>10225</v>
      </c>
      <c r="L23" s="11">
        <v>17511</v>
      </c>
      <c r="M23" s="11">
        <v>1589</v>
      </c>
    </row>
    <row r="24" spans="1:13" x14ac:dyDescent="0.3">
      <c r="A24" s="10" t="s">
        <v>116</v>
      </c>
      <c r="B24" s="10" t="s">
        <v>37</v>
      </c>
      <c r="C24" s="11">
        <v>69380</v>
      </c>
      <c r="D24" s="11">
        <v>34413</v>
      </c>
      <c r="E24" s="11">
        <v>2529</v>
      </c>
      <c r="F24" s="11">
        <v>22743</v>
      </c>
      <c r="G24" s="11">
        <v>8184</v>
      </c>
      <c r="H24" s="11">
        <v>957</v>
      </c>
      <c r="I24" s="11">
        <v>34967</v>
      </c>
      <c r="J24" s="11">
        <v>2943</v>
      </c>
      <c r="K24" s="11">
        <v>7078</v>
      </c>
      <c r="L24" s="11">
        <v>23387</v>
      </c>
      <c r="M24" s="11">
        <v>1559</v>
      </c>
    </row>
    <row r="25" spans="1:13" x14ac:dyDescent="0.3">
      <c r="A25" s="10" t="s">
        <v>117</v>
      </c>
      <c r="B25" s="10" t="s">
        <v>39</v>
      </c>
      <c r="C25" s="11">
        <v>86272</v>
      </c>
      <c r="D25" s="11">
        <v>33205</v>
      </c>
      <c r="E25" s="11">
        <v>2309</v>
      </c>
      <c r="F25" s="11">
        <v>18130</v>
      </c>
      <c r="G25" s="11">
        <v>12091</v>
      </c>
      <c r="H25" s="11">
        <v>675</v>
      </c>
      <c r="I25" s="11">
        <v>53067</v>
      </c>
      <c r="J25" s="11">
        <v>4127</v>
      </c>
      <c r="K25" s="11">
        <v>5637</v>
      </c>
      <c r="L25" s="11">
        <v>41387</v>
      </c>
      <c r="M25" s="11">
        <v>1916</v>
      </c>
    </row>
    <row r="26" spans="1:13" x14ac:dyDescent="0.3">
      <c r="A26" s="10" t="s">
        <v>118</v>
      </c>
      <c r="B26" s="10" t="s">
        <v>38</v>
      </c>
      <c r="C26" s="11">
        <v>69198</v>
      </c>
      <c r="D26" s="11">
        <v>20157</v>
      </c>
      <c r="E26" s="11">
        <v>1228</v>
      </c>
      <c r="F26" s="11">
        <v>8194</v>
      </c>
      <c r="G26" s="11">
        <v>10408</v>
      </c>
      <c r="H26" s="11">
        <v>327</v>
      </c>
      <c r="I26" s="11">
        <v>49041</v>
      </c>
      <c r="J26" s="11">
        <v>3901</v>
      </c>
      <c r="K26" s="11">
        <v>2345</v>
      </c>
      <c r="L26" s="11">
        <v>41110</v>
      </c>
      <c r="M26" s="11">
        <v>1685</v>
      </c>
    </row>
    <row r="27" spans="1:13" x14ac:dyDescent="0.3">
      <c r="A27" s="10" t="s">
        <v>119</v>
      </c>
      <c r="B27" s="10" t="s">
        <v>26</v>
      </c>
      <c r="C27" s="11">
        <v>25150</v>
      </c>
      <c r="D27" s="11">
        <v>5179</v>
      </c>
      <c r="E27" s="11">
        <v>282</v>
      </c>
      <c r="F27" s="11">
        <v>1295</v>
      </c>
      <c r="G27" s="11">
        <v>3532</v>
      </c>
      <c r="H27" s="11">
        <v>70</v>
      </c>
      <c r="I27" s="11">
        <v>19971</v>
      </c>
      <c r="J27" s="11">
        <v>1841</v>
      </c>
      <c r="K27" s="11">
        <v>351</v>
      </c>
      <c r="L27" s="11">
        <v>17208</v>
      </c>
      <c r="M27" s="11">
        <v>571</v>
      </c>
    </row>
    <row r="28" spans="1:13" x14ac:dyDescent="0.3">
      <c r="A28" s="12" t="s">
        <v>120</v>
      </c>
      <c r="B28" s="12" t="s">
        <v>40</v>
      </c>
      <c r="C28" s="13">
        <v>4226</v>
      </c>
      <c r="D28" s="13">
        <v>570</v>
      </c>
      <c r="E28" s="13">
        <v>30</v>
      </c>
      <c r="F28" s="13">
        <v>69</v>
      </c>
      <c r="G28" s="13">
        <v>461</v>
      </c>
      <c r="H28" s="13">
        <v>10</v>
      </c>
      <c r="I28" s="13">
        <v>3656</v>
      </c>
      <c r="J28" s="13">
        <v>379</v>
      </c>
      <c r="K28" s="13">
        <v>26</v>
      </c>
      <c r="L28" s="13">
        <v>3168</v>
      </c>
      <c r="M28" s="13">
        <v>83</v>
      </c>
    </row>
    <row r="29" spans="1:13" x14ac:dyDescent="0.3">
      <c r="A29" s="51" t="s">
        <v>27</v>
      </c>
      <c r="B29" s="51"/>
      <c r="C29" s="14">
        <v>531485</v>
      </c>
      <c r="D29" s="14">
        <v>272337</v>
      </c>
      <c r="E29" s="14">
        <v>42945</v>
      </c>
      <c r="F29" s="14">
        <v>159925</v>
      </c>
      <c r="G29" s="14">
        <v>50184</v>
      </c>
      <c r="H29" s="14">
        <v>19283</v>
      </c>
      <c r="I29" s="14">
        <v>259148</v>
      </c>
      <c r="J29" s="14">
        <v>28367</v>
      </c>
      <c r="K29" s="14">
        <v>57562</v>
      </c>
      <c r="L29" s="14">
        <v>159015</v>
      </c>
      <c r="M29" s="14">
        <v>14204</v>
      </c>
    </row>
    <row r="32" spans="1:13" x14ac:dyDescent="0.3">
      <c r="A32" s="7"/>
      <c r="B32" s="7"/>
    </row>
    <row r="33" spans="1:2" x14ac:dyDescent="0.3">
      <c r="A33" s="7"/>
      <c r="B33" s="7"/>
    </row>
  </sheetData>
  <mergeCells count="1">
    <mergeCell ref="I4:M4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C41" sqref="C41"/>
    </sheetView>
  </sheetViews>
  <sheetFormatPr baseColWidth="10" defaultRowHeight="12.5" x14ac:dyDescent="0.25"/>
  <cols>
    <col min="2" max="2" width="15.54296875" customWidth="1"/>
  </cols>
  <sheetData>
    <row r="1" spans="1:13" ht="13" x14ac:dyDescent="0.25">
      <c r="A1" s="41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3" x14ac:dyDescent="0.2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3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" x14ac:dyDescent="0.25">
      <c r="A4" s="30" t="s">
        <v>0</v>
      </c>
      <c r="B4" s="30" t="s">
        <v>1</v>
      </c>
      <c r="C4" s="30" t="s">
        <v>2</v>
      </c>
      <c r="D4" s="179" t="s">
        <v>3</v>
      </c>
      <c r="E4" s="180"/>
      <c r="F4" s="180"/>
      <c r="G4" s="180"/>
      <c r="H4" s="181"/>
      <c r="I4" s="179" t="s">
        <v>4</v>
      </c>
      <c r="J4" s="180"/>
      <c r="K4" s="180"/>
      <c r="L4" s="180"/>
      <c r="M4" s="181"/>
    </row>
    <row r="5" spans="1:13" ht="13" x14ac:dyDescent="0.25">
      <c r="A5" s="31" t="s">
        <v>5</v>
      </c>
      <c r="B5" s="31" t="s">
        <v>67</v>
      </c>
      <c r="C5" s="31" t="s">
        <v>6</v>
      </c>
      <c r="D5" s="44"/>
      <c r="E5" s="31"/>
      <c r="F5" s="31"/>
      <c r="G5" s="31"/>
      <c r="H5" s="45"/>
      <c r="I5" s="44"/>
      <c r="J5" s="31"/>
      <c r="K5" s="31"/>
      <c r="L5" s="31"/>
      <c r="M5" s="45"/>
    </row>
    <row r="6" spans="1:13" ht="13" x14ac:dyDescent="0.25">
      <c r="A6" s="31" t="s">
        <v>8</v>
      </c>
      <c r="B6" s="31" t="s">
        <v>41</v>
      </c>
      <c r="C6" s="31" t="s">
        <v>9</v>
      </c>
      <c r="D6" s="44" t="s">
        <v>10</v>
      </c>
      <c r="E6" s="31" t="s">
        <v>44</v>
      </c>
      <c r="F6" s="31" t="s">
        <v>12</v>
      </c>
      <c r="G6" s="31" t="s">
        <v>13</v>
      </c>
      <c r="H6" s="45" t="s">
        <v>14</v>
      </c>
      <c r="I6" s="44" t="s">
        <v>10</v>
      </c>
      <c r="J6" s="31" t="s">
        <v>44</v>
      </c>
      <c r="K6" s="31" t="s">
        <v>15</v>
      </c>
      <c r="L6" s="31" t="s">
        <v>16</v>
      </c>
      <c r="M6" s="45" t="s">
        <v>17</v>
      </c>
    </row>
    <row r="7" spans="1:13" ht="13" x14ac:dyDescent="0.25">
      <c r="A7" s="20" t="s">
        <v>76</v>
      </c>
      <c r="B7" s="20" t="s">
        <v>45</v>
      </c>
      <c r="C7" s="21">
        <v>383473</v>
      </c>
      <c r="D7" s="21">
        <v>195977</v>
      </c>
      <c r="E7" s="21">
        <v>195977</v>
      </c>
      <c r="F7" s="21">
        <v>0</v>
      </c>
      <c r="G7" s="21">
        <v>0</v>
      </c>
      <c r="H7" s="21">
        <v>0</v>
      </c>
      <c r="I7" s="21">
        <v>187496</v>
      </c>
      <c r="J7" s="21">
        <v>187496</v>
      </c>
      <c r="K7" s="21">
        <v>0</v>
      </c>
      <c r="L7" s="21">
        <v>0</v>
      </c>
      <c r="M7" s="21">
        <v>0</v>
      </c>
    </row>
    <row r="8" spans="1:13" ht="13" x14ac:dyDescent="0.25">
      <c r="A8" s="22" t="s">
        <v>77</v>
      </c>
      <c r="B8" s="22" t="s">
        <v>46</v>
      </c>
      <c r="C8" s="23">
        <v>2936902</v>
      </c>
      <c r="D8" s="23">
        <v>1504533</v>
      </c>
      <c r="E8" s="23">
        <v>1504533</v>
      </c>
      <c r="F8" s="23">
        <v>0</v>
      </c>
      <c r="G8" s="23">
        <v>0</v>
      </c>
      <c r="H8" s="23">
        <v>0</v>
      </c>
      <c r="I8" s="23">
        <v>1432369</v>
      </c>
      <c r="J8" s="23">
        <v>1432369</v>
      </c>
      <c r="K8" s="23">
        <v>0</v>
      </c>
      <c r="L8" s="23">
        <v>0</v>
      </c>
      <c r="M8" s="23">
        <v>0</v>
      </c>
    </row>
    <row r="9" spans="1:13" ht="13" x14ac:dyDescent="0.25">
      <c r="A9" s="22" t="s">
        <v>78</v>
      </c>
      <c r="B9" s="22" t="s">
        <v>47</v>
      </c>
      <c r="C9" s="23">
        <v>3579925</v>
      </c>
      <c r="D9" s="23">
        <v>1832977</v>
      </c>
      <c r="E9" s="23">
        <v>1832977</v>
      </c>
      <c r="F9" s="23">
        <v>0</v>
      </c>
      <c r="G9" s="23">
        <v>0</v>
      </c>
      <c r="H9" s="23">
        <v>0</v>
      </c>
      <c r="I9" s="23">
        <v>1746948</v>
      </c>
      <c r="J9" s="23">
        <v>1746948</v>
      </c>
      <c r="K9" s="23">
        <v>0</v>
      </c>
      <c r="L9" s="23">
        <v>0</v>
      </c>
      <c r="M9" s="23">
        <v>0</v>
      </c>
    </row>
    <row r="10" spans="1:13" ht="13" x14ac:dyDescent="0.25">
      <c r="A10" s="22" t="s">
        <v>79</v>
      </c>
      <c r="B10" s="22" t="s">
        <v>48</v>
      </c>
      <c r="C10" s="23">
        <v>3815718</v>
      </c>
      <c r="D10" s="23">
        <v>1952300</v>
      </c>
      <c r="E10" s="23">
        <v>1952300</v>
      </c>
      <c r="F10" s="23">
        <v>0</v>
      </c>
      <c r="G10" s="23">
        <v>0</v>
      </c>
      <c r="H10" s="23">
        <v>0</v>
      </c>
      <c r="I10" s="23">
        <v>1863418</v>
      </c>
      <c r="J10" s="23">
        <v>1863417</v>
      </c>
      <c r="K10" s="23">
        <v>1</v>
      </c>
      <c r="L10" s="23">
        <v>0</v>
      </c>
      <c r="M10" s="23">
        <v>0</v>
      </c>
    </row>
    <row r="11" spans="1:13" ht="13" x14ac:dyDescent="0.25">
      <c r="A11" s="22" t="s">
        <v>80</v>
      </c>
      <c r="B11" s="22" t="s">
        <v>49</v>
      </c>
      <c r="C11" s="23">
        <v>3874030</v>
      </c>
      <c r="D11" s="23">
        <v>1978250</v>
      </c>
      <c r="E11" s="23">
        <v>1977914</v>
      </c>
      <c r="F11" s="23">
        <v>334</v>
      </c>
      <c r="G11" s="23">
        <v>1</v>
      </c>
      <c r="H11" s="23">
        <v>1</v>
      </c>
      <c r="I11" s="23">
        <v>1895780</v>
      </c>
      <c r="J11" s="23">
        <v>1891835</v>
      </c>
      <c r="K11" s="23">
        <v>3898</v>
      </c>
      <c r="L11" s="23">
        <v>13</v>
      </c>
      <c r="M11" s="23">
        <v>34</v>
      </c>
    </row>
    <row r="12" spans="1:13" ht="13" x14ac:dyDescent="0.25">
      <c r="A12" s="22" t="s">
        <v>81</v>
      </c>
      <c r="B12" s="22" t="s">
        <v>50</v>
      </c>
      <c r="C12" s="23">
        <v>3852134</v>
      </c>
      <c r="D12" s="23">
        <v>1949996</v>
      </c>
      <c r="E12" s="23">
        <v>1914972</v>
      </c>
      <c r="F12" s="23">
        <v>34338</v>
      </c>
      <c r="G12" s="23">
        <v>48</v>
      </c>
      <c r="H12" s="23">
        <v>638</v>
      </c>
      <c r="I12" s="23">
        <v>1902138</v>
      </c>
      <c r="J12" s="23">
        <v>1785031</v>
      </c>
      <c r="K12" s="23">
        <v>113757</v>
      </c>
      <c r="L12" s="23">
        <v>354</v>
      </c>
      <c r="M12" s="23">
        <v>2996</v>
      </c>
    </row>
    <row r="13" spans="1:13" ht="13" x14ac:dyDescent="0.25">
      <c r="A13" s="22" t="s">
        <v>82</v>
      </c>
      <c r="B13" s="22" t="s">
        <v>51</v>
      </c>
      <c r="C13" s="23">
        <v>3931266</v>
      </c>
      <c r="D13" s="23">
        <v>1971604</v>
      </c>
      <c r="E13" s="23">
        <v>1561244</v>
      </c>
      <c r="F13" s="23">
        <v>396111</v>
      </c>
      <c r="G13" s="23">
        <v>550</v>
      </c>
      <c r="H13" s="23">
        <v>13699</v>
      </c>
      <c r="I13" s="23">
        <v>1959662</v>
      </c>
      <c r="J13" s="23">
        <v>1283917</v>
      </c>
      <c r="K13" s="23">
        <v>640819</v>
      </c>
      <c r="L13" s="23">
        <v>3025</v>
      </c>
      <c r="M13" s="23">
        <v>31901</v>
      </c>
    </row>
    <row r="14" spans="1:13" ht="13" x14ac:dyDescent="0.25">
      <c r="A14" s="22" t="s">
        <v>83</v>
      </c>
      <c r="B14" s="22" t="s">
        <v>52</v>
      </c>
      <c r="C14" s="23">
        <v>4228691</v>
      </c>
      <c r="D14" s="23">
        <v>2109279</v>
      </c>
      <c r="E14" s="23">
        <v>1102304</v>
      </c>
      <c r="F14" s="23">
        <v>940234</v>
      </c>
      <c r="G14" s="23">
        <v>1782</v>
      </c>
      <c r="H14" s="23">
        <v>64959</v>
      </c>
      <c r="I14" s="23">
        <v>2119412</v>
      </c>
      <c r="J14" s="23">
        <v>881384</v>
      </c>
      <c r="K14" s="23">
        <v>1126845</v>
      </c>
      <c r="L14" s="23">
        <v>7844</v>
      </c>
      <c r="M14" s="23">
        <v>103339</v>
      </c>
    </row>
    <row r="15" spans="1:13" ht="13" x14ac:dyDescent="0.25">
      <c r="A15" s="22" t="s">
        <v>84</v>
      </c>
      <c r="B15" s="22" t="s">
        <v>53</v>
      </c>
      <c r="C15" s="23">
        <v>4355048</v>
      </c>
      <c r="D15" s="23">
        <v>2160651</v>
      </c>
      <c r="E15" s="23">
        <v>786356</v>
      </c>
      <c r="F15" s="23">
        <v>1233350</v>
      </c>
      <c r="G15" s="23">
        <v>4188</v>
      </c>
      <c r="H15" s="23">
        <v>136757</v>
      </c>
      <c r="I15" s="23">
        <v>2194397</v>
      </c>
      <c r="J15" s="23">
        <v>624155</v>
      </c>
      <c r="K15" s="23">
        <v>1357483</v>
      </c>
      <c r="L15" s="23">
        <v>17869</v>
      </c>
      <c r="M15" s="23">
        <v>194890</v>
      </c>
    </row>
    <row r="16" spans="1:13" ht="13" x14ac:dyDescent="0.25">
      <c r="A16" s="22" t="s">
        <v>85</v>
      </c>
      <c r="B16" s="22" t="s">
        <v>54</v>
      </c>
      <c r="C16" s="23">
        <v>4267331</v>
      </c>
      <c r="D16" s="23">
        <v>2105334</v>
      </c>
      <c r="E16" s="23">
        <v>533364</v>
      </c>
      <c r="F16" s="23">
        <v>1358400</v>
      </c>
      <c r="G16" s="23">
        <v>8757</v>
      </c>
      <c r="H16" s="23">
        <v>204813</v>
      </c>
      <c r="I16" s="23">
        <v>2161997</v>
      </c>
      <c r="J16" s="23">
        <v>409014</v>
      </c>
      <c r="K16" s="23">
        <v>1441853</v>
      </c>
      <c r="L16" s="23">
        <v>36480</v>
      </c>
      <c r="M16" s="23">
        <v>274650</v>
      </c>
    </row>
    <row r="17" spans="1:13" ht="13" x14ac:dyDescent="0.25">
      <c r="A17" s="22" t="s">
        <v>86</v>
      </c>
      <c r="B17" s="22" t="s">
        <v>55</v>
      </c>
      <c r="C17" s="23">
        <v>4181989</v>
      </c>
      <c r="D17" s="23">
        <v>2062839</v>
      </c>
      <c r="E17" s="23">
        <v>347470</v>
      </c>
      <c r="F17" s="23">
        <v>1450247</v>
      </c>
      <c r="G17" s="23">
        <v>16095</v>
      </c>
      <c r="H17" s="23">
        <v>249027</v>
      </c>
      <c r="I17" s="23">
        <v>2119150</v>
      </c>
      <c r="J17" s="23">
        <v>269616</v>
      </c>
      <c r="K17" s="23">
        <v>1468753</v>
      </c>
      <c r="L17" s="23">
        <v>64331</v>
      </c>
      <c r="M17" s="23">
        <v>316450</v>
      </c>
    </row>
    <row r="18" spans="1:13" ht="13" x14ac:dyDescent="0.25">
      <c r="A18" s="22" t="s">
        <v>87</v>
      </c>
      <c r="B18" s="22" t="s">
        <v>56</v>
      </c>
      <c r="C18" s="23">
        <v>4217308</v>
      </c>
      <c r="D18" s="23">
        <v>2097915</v>
      </c>
      <c r="E18" s="23">
        <v>241983</v>
      </c>
      <c r="F18" s="23">
        <v>1574361</v>
      </c>
      <c r="G18" s="23">
        <v>27312</v>
      </c>
      <c r="H18" s="23">
        <v>254259</v>
      </c>
      <c r="I18" s="23">
        <v>2119393</v>
      </c>
      <c r="J18" s="23">
        <v>195195</v>
      </c>
      <c r="K18" s="23">
        <v>1499389</v>
      </c>
      <c r="L18" s="23">
        <v>108768</v>
      </c>
      <c r="M18" s="23">
        <v>316041</v>
      </c>
    </row>
    <row r="19" spans="1:13" ht="13" x14ac:dyDescent="0.25">
      <c r="A19" s="24" t="s">
        <v>88</v>
      </c>
      <c r="B19" s="24" t="s">
        <v>57</v>
      </c>
      <c r="C19" s="23">
        <v>3117365</v>
      </c>
      <c r="D19" s="23">
        <v>1548497</v>
      </c>
      <c r="E19" s="23">
        <v>134199</v>
      </c>
      <c r="F19" s="23">
        <v>1216296</v>
      </c>
      <c r="G19" s="23">
        <v>31459</v>
      </c>
      <c r="H19" s="23">
        <v>166543</v>
      </c>
      <c r="I19" s="23">
        <v>1568868</v>
      </c>
      <c r="J19" s="23">
        <v>114012</v>
      </c>
      <c r="K19" s="23">
        <v>1115778</v>
      </c>
      <c r="L19" s="23">
        <v>135760</v>
      </c>
      <c r="M19" s="23">
        <v>203318</v>
      </c>
    </row>
    <row r="20" spans="1:13" ht="13" x14ac:dyDescent="0.25">
      <c r="A20" s="24" t="s">
        <v>89</v>
      </c>
      <c r="B20" s="24" t="s">
        <v>58</v>
      </c>
      <c r="C20" s="23">
        <v>2605880</v>
      </c>
      <c r="D20" s="23">
        <v>1264025</v>
      </c>
      <c r="E20" s="23">
        <v>105503</v>
      </c>
      <c r="F20" s="23">
        <v>1012691</v>
      </c>
      <c r="G20" s="23">
        <v>41483</v>
      </c>
      <c r="H20" s="23">
        <v>104348</v>
      </c>
      <c r="I20" s="23">
        <v>1341855</v>
      </c>
      <c r="J20" s="23">
        <v>87204</v>
      </c>
      <c r="K20" s="23">
        <v>926329</v>
      </c>
      <c r="L20" s="23">
        <v>197788</v>
      </c>
      <c r="M20" s="23">
        <v>130534</v>
      </c>
    </row>
    <row r="21" spans="1:13" ht="13" x14ac:dyDescent="0.25">
      <c r="A21" s="24" t="s">
        <v>90</v>
      </c>
      <c r="B21" s="24" t="s">
        <v>59</v>
      </c>
      <c r="C21" s="23">
        <v>2666848</v>
      </c>
      <c r="D21" s="23">
        <v>1237774</v>
      </c>
      <c r="E21" s="23">
        <v>106286</v>
      </c>
      <c r="F21" s="23">
        <v>992691</v>
      </c>
      <c r="G21" s="23">
        <v>64575</v>
      </c>
      <c r="H21" s="23">
        <v>74222</v>
      </c>
      <c r="I21" s="23">
        <v>1429074</v>
      </c>
      <c r="J21" s="23">
        <v>93411</v>
      </c>
      <c r="K21" s="23">
        <v>899723</v>
      </c>
      <c r="L21" s="23">
        <v>334433</v>
      </c>
      <c r="M21" s="23">
        <v>101507</v>
      </c>
    </row>
    <row r="22" spans="1:13" ht="13" x14ac:dyDescent="0.25">
      <c r="A22" s="24" t="s">
        <v>91</v>
      </c>
      <c r="B22" s="24" t="s">
        <v>60</v>
      </c>
      <c r="C22" s="23">
        <v>2510219</v>
      </c>
      <c r="D22" s="23">
        <v>1099529</v>
      </c>
      <c r="E22" s="23">
        <v>92145</v>
      </c>
      <c r="F22" s="23">
        <v>868785</v>
      </c>
      <c r="G22" s="23">
        <v>90194</v>
      </c>
      <c r="H22" s="23">
        <v>48405</v>
      </c>
      <c r="I22" s="23">
        <v>1410690</v>
      </c>
      <c r="J22" s="23">
        <v>100778</v>
      </c>
      <c r="K22" s="23">
        <v>746275</v>
      </c>
      <c r="L22" s="23">
        <v>487953</v>
      </c>
      <c r="M22" s="23">
        <v>75684</v>
      </c>
    </row>
    <row r="23" spans="1:13" ht="13" x14ac:dyDescent="0.25">
      <c r="A23" s="24" t="s">
        <v>92</v>
      </c>
      <c r="B23" s="24" t="s">
        <v>61</v>
      </c>
      <c r="C23" s="23">
        <v>2127829</v>
      </c>
      <c r="D23" s="23">
        <v>860014</v>
      </c>
      <c r="E23" s="23">
        <v>67184</v>
      </c>
      <c r="F23" s="23">
        <v>655913</v>
      </c>
      <c r="G23" s="23">
        <v>109404</v>
      </c>
      <c r="H23" s="23">
        <v>27513</v>
      </c>
      <c r="I23" s="23">
        <v>1267815</v>
      </c>
      <c r="J23" s="23">
        <v>97700</v>
      </c>
      <c r="K23" s="23">
        <v>503540</v>
      </c>
      <c r="L23" s="23">
        <v>612087</v>
      </c>
      <c r="M23" s="23">
        <v>54488</v>
      </c>
    </row>
    <row r="24" spans="1:13" ht="13" x14ac:dyDescent="0.25">
      <c r="A24" s="24" t="s">
        <v>93</v>
      </c>
      <c r="B24" s="24" t="s">
        <v>62</v>
      </c>
      <c r="C24" s="23">
        <v>1284377</v>
      </c>
      <c r="D24" s="23">
        <v>474928</v>
      </c>
      <c r="E24" s="23">
        <v>32486</v>
      </c>
      <c r="F24" s="23">
        <v>340861</v>
      </c>
      <c r="G24" s="23">
        <v>89384</v>
      </c>
      <c r="H24" s="23">
        <v>12197</v>
      </c>
      <c r="I24" s="23">
        <v>809449</v>
      </c>
      <c r="J24" s="23">
        <v>60710</v>
      </c>
      <c r="K24" s="23">
        <v>211685</v>
      </c>
      <c r="L24" s="23">
        <v>506194</v>
      </c>
      <c r="M24" s="23">
        <v>30860</v>
      </c>
    </row>
    <row r="25" spans="1:13" ht="13" x14ac:dyDescent="0.25">
      <c r="A25" s="24" t="s">
        <v>94</v>
      </c>
      <c r="B25" s="24" t="s">
        <v>63</v>
      </c>
      <c r="C25" s="23">
        <v>746638</v>
      </c>
      <c r="D25" s="23">
        <v>229020</v>
      </c>
      <c r="E25" s="23">
        <v>14790</v>
      </c>
      <c r="F25" s="23">
        <v>137063</v>
      </c>
      <c r="G25" s="23">
        <v>72845</v>
      </c>
      <c r="H25" s="23">
        <v>4322</v>
      </c>
      <c r="I25" s="23">
        <v>517618</v>
      </c>
      <c r="J25" s="23">
        <v>39862</v>
      </c>
      <c r="K25" s="23">
        <v>63717</v>
      </c>
      <c r="L25" s="23">
        <v>397024</v>
      </c>
      <c r="M25" s="23">
        <v>17015</v>
      </c>
    </row>
    <row r="26" spans="1:13" ht="13" x14ac:dyDescent="0.25">
      <c r="A26" s="24" t="s">
        <v>95</v>
      </c>
      <c r="B26" s="24" t="s">
        <v>64</v>
      </c>
      <c r="C26" s="23">
        <v>394554</v>
      </c>
      <c r="D26" s="23">
        <v>98007</v>
      </c>
      <c r="E26" s="23">
        <v>6753</v>
      </c>
      <c r="F26" s="23">
        <v>42954</v>
      </c>
      <c r="G26" s="23">
        <v>46802</v>
      </c>
      <c r="H26" s="23">
        <v>1498</v>
      </c>
      <c r="I26" s="23">
        <v>296547</v>
      </c>
      <c r="J26" s="23">
        <v>24902</v>
      </c>
      <c r="K26" s="23">
        <v>16616</v>
      </c>
      <c r="L26" s="23">
        <v>246605</v>
      </c>
      <c r="M26" s="23">
        <v>8424</v>
      </c>
    </row>
    <row r="27" spans="1:13" ht="13" x14ac:dyDescent="0.25">
      <c r="A27" s="24" t="s">
        <v>96</v>
      </c>
      <c r="B27" s="24" t="s">
        <v>65</v>
      </c>
      <c r="C27" s="23">
        <v>100572</v>
      </c>
      <c r="D27" s="23">
        <v>19348</v>
      </c>
      <c r="E27" s="23">
        <v>1914</v>
      </c>
      <c r="F27" s="23">
        <v>4247</v>
      </c>
      <c r="G27" s="23">
        <v>12943</v>
      </c>
      <c r="H27" s="23">
        <v>244</v>
      </c>
      <c r="I27" s="23">
        <v>81224</v>
      </c>
      <c r="J27" s="23">
        <v>8670</v>
      </c>
      <c r="K27" s="23">
        <v>1955</v>
      </c>
      <c r="L27" s="23">
        <v>68761</v>
      </c>
      <c r="M27" s="23">
        <v>1838</v>
      </c>
    </row>
    <row r="28" spans="1:13" ht="13" x14ac:dyDescent="0.25">
      <c r="A28" s="25" t="s">
        <v>97</v>
      </c>
      <c r="B28" s="25" t="s">
        <v>66</v>
      </c>
      <c r="C28" s="26">
        <v>14294</v>
      </c>
      <c r="D28" s="26">
        <v>2384</v>
      </c>
      <c r="E28" s="26">
        <v>510</v>
      </c>
      <c r="F28" s="26">
        <v>113</v>
      </c>
      <c r="G28" s="26">
        <v>1727</v>
      </c>
      <c r="H28" s="26">
        <v>34</v>
      </c>
      <c r="I28" s="26">
        <v>11910</v>
      </c>
      <c r="J28" s="26">
        <v>1660</v>
      </c>
      <c r="K28" s="26">
        <v>231</v>
      </c>
      <c r="L28" s="26">
        <v>9802</v>
      </c>
      <c r="M28" s="26">
        <v>217</v>
      </c>
    </row>
    <row r="29" spans="1:13" ht="13" x14ac:dyDescent="0.25">
      <c r="A29" s="182" t="s">
        <v>10</v>
      </c>
      <c r="B29" s="182"/>
      <c r="C29" s="19">
        <v>59192391</v>
      </c>
      <c r="D29" s="19">
        <v>28755181</v>
      </c>
      <c r="E29" s="19">
        <v>14513164</v>
      </c>
      <c r="F29" s="19">
        <v>12258989</v>
      </c>
      <c r="G29" s="19">
        <v>619549</v>
      </c>
      <c r="H29" s="19">
        <v>1363479</v>
      </c>
      <c r="I29" s="19">
        <v>30437210</v>
      </c>
      <c r="J29" s="19">
        <v>13199286</v>
      </c>
      <c r="K29" s="19">
        <v>12138647</v>
      </c>
      <c r="L29" s="19">
        <v>3235091</v>
      </c>
      <c r="M29" s="19">
        <v>1864186</v>
      </c>
    </row>
  </sheetData>
  <mergeCells count="3">
    <mergeCell ref="D4:H4"/>
    <mergeCell ref="I4:M4"/>
    <mergeCell ref="A29:B2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activeCell="E31" sqref="E31"/>
    </sheetView>
  </sheetViews>
  <sheetFormatPr baseColWidth="10" defaultColWidth="11.36328125" defaultRowHeight="14.5" x14ac:dyDescent="0.35"/>
  <cols>
    <col min="1" max="1" width="11.36328125" style="27"/>
    <col min="2" max="2" width="15.7265625" style="27" customWidth="1"/>
    <col min="3" max="16384" width="11.36328125" style="27"/>
  </cols>
  <sheetData>
    <row r="1" spans="1:4" x14ac:dyDescent="0.35">
      <c r="A1" s="27" t="s">
        <v>126</v>
      </c>
    </row>
    <row r="2" spans="1:4" x14ac:dyDescent="0.35">
      <c r="A2" s="27" t="s">
        <v>68</v>
      </c>
    </row>
    <row r="3" spans="1:4" x14ac:dyDescent="0.35">
      <c r="A3" s="27" t="s">
        <v>127</v>
      </c>
    </row>
    <row r="4" spans="1:4" x14ac:dyDescent="0.35">
      <c r="A4" s="33" t="s">
        <v>0</v>
      </c>
      <c r="B4" s="33" t="s">
        <v>1</v>
      </c>
      <c r="C4" s="33"/>
      <c r="D4" s="33"/>
    </row>
    <row r="5" spans="1:4" x14ac:dyDescent="0.35">
      <c r="A5" s="34" t="s">
        <v>5</v>
      </c>
      <c r="B5" s="34" t="s">
        <v>67</v>
      </c>
      <c r="C5" s="34" t="s">
        <v>124</v>
      </c>
      <c r="D5" s="34" t="s">
        <v>125</v>
      </c>
    </row>
    <row r="6" spans="1:4" x14ac:dyDescent="0.35">
      <c r="A6" s="35" t="s">
        <v>8</v>
      </c>
      <c r="B6" s="35" t="s">
        <v>41</v>
      </c>
      <c r="C6" s="35"/>
      <c r="D6" s="35"/>
    </row>
    <row r="7" spans="1:4" x14ac:dyDescent="0.35">
      <c r="A7" s="36" t="s">
        <v>79</v>
      </c>
      <c r="B7" s="36" t="s">
        <v>48</v>
      </c>
      <c r="C7" s="37">
        <v>0</v>
      </c>
      <c r="D7" s="37">
        <v>16</v>
      </c>
    </row>
    <row r="8" spans="1:4" x14ac:dyDescent="0.35">
      <c r="A8" s="36" t="s">
        <v>80</v>
      </c>
      <c r="B8" s="36" t="s">
        <v>49</v>
      </c>
      <c r="C8" s="37">
        <v>992</v>
      </c>
      <c r="D8" s="37">
        <v>6236</v>
      </c>
    </row>
    <row r="9" spans="1:4" x14ac:dyDescent="0.35">
      <c r="A9" s="36" t="s">
        <v>81</v>
      </c>
      <c r="B9" s="36" t="s">
        <v>50</v>
      </c>
      <c r="C9" s="37">
        <v>29152</v>
      </c>
      <c r="D9" s="37">
        <v>61484</v>
      </c>
    </row>
    <row r="10" spans="1:4" x14ac:dyDescent="0.35">
      <c r="A10" s="36" t="s">
        <v>82</v>
      </c>
      <c r="B10" s="36" t="s">
        <v>51</v>
      </c>
      <c r="C10" s="37">
        <v>100552</v>
      </c>
      <c r="D10" s="37">
        <v>98530</v>
      </c>
    </row>
    <row r="11" spans="1:4" x14ac:dyDescent="0.35">
      <c r="A11" s="36" t="s">
        <v>83</v>
      </c>
      <c r="B11" s="36" t="s">
        <v>52</v>
      </c>
      <c r="C11" s="37">
        <v>60845</v>
      </c>
      <c r="D11" s="37">
        <v>42914</v>
      </c>
    </row>
    <row r="12" spans="1:4" x14ac:dyDescent="0.35">
      <c r="A12" s="36" t="s">
        <v>84</v>
      </c>
      <c r="B12" s="36" t="s">
        <v>53</v>
      </c>
      <c r="C12" s="37">
        <v>26549</v>
      </c>
      <c r="D12" s="37">
        <v>18195</v>
      </c>
    </row>
    <row r="13" spans="1:4" x14ac:dyDescent="0.35">
      <c r="A13" s="36" t="s">
        <v>85</v>
      </c>
      <c r="B13" s="36" t="s">
        <v>54</v>
      </c>
      <c r="C13" s="37">
        <v>11064</v>
      </c>
      <c r="D13" s="37">
        <v>7460</v>
      </c>
    </row>
    <row r="14" spans="1:4" x14ac:dyDescent="0.35">
      <c r="A14" s="36" t="s">
        <v>86</v>
      </c>
      <c r="B14" s="36" t="s">
        <v>55</v>
      </c>
      <c r="C14" s="37">
        <v>4500</v>
      </c>
      <c r="D14" s="37">
        <v>2933</v>
      </c>
    </row>
    <row r="15" spans="1:4" x14ac:dyDescent="0.35">
      <c r="A15" s="36" t="s">
        <v>87</v>
      </c>
      <c r="B15" s="36" t="s">
        <v>56</v>
      </c>
      <c r="C15" s="37">
        <v>2026</v>
      </c>
      <c r="D15" s="37">
        <v>1430</v>
      </c>
    </row>
    <row r="16" spans="1:4" x14ac:dyDescent="0.35">
      <c r="A16" s="38" t="s">
        <v>88</v>
      </c>
      <c r="B16" s="38" t="s">
        <v>57</v>
      </c>
      <c r="C16" s="37">
        <v>686</v>
      </c>
      <c r="D16" s="37">
        <v>436</v>
      </c>
    </row>
    <row r="17" spans="1:4" x14ac:dyDescent="0.35">
      <c r="A17" s="38" t="s">
        <v>89</v>
      </c>
      <c r="B17" s="38" t="s">
        <v>58</v>
      </c>
      <c r="C17" s="37">
        <v>244</v>
      </c>
      <c r="D17" s="37">
        <v>253</v>
      </c>
    </row>
    <row r="18" spans="1:4" x14ac:dyDescent="0.35">
      <c r="A18" s="38" t="s">
        <v>90</v>
      </c>
      <c r="B18" s="38" t="s">
        <v>59</v>
      </c>
      <c r="C18" s="37">
        <v>244</v>
      </c>
      <c r="D18" s="37">
        <v>133</v>
      </c>
    </row>
    <row r="19" spans="1:4" x14ac:dyDescent="0.35">
      <c r="A19" s="39" t="s">
        <v>122</v>
      </c>
      <c r="B19" s="39" t="s">
        <v>121</v>
      </c>
      <c r="C19" s="37">
        <v>227</v>
      </c>
      <c r="D19" s="37">
        <v>143</v>
      </c>
    </row>
    <row r="20" spans="1:4" x14ac:dyDescent="0.35">
      <c r="A20" s="183" t="s">
        <v>10</v>
      </c>
      <c r="B20" s="183"/>
      <c r="C20" s="40">
        <f>SUM(C7:C19)</f>
        <v>237081</v>
      </c>
      <c r="D20" s="40">
        <f>SUM(D7:D19)</f>
        <v>240163</v>
      </c>
    </row>
  </sheetData>
  <mergeCells count="1">
    <mergeCell ref="A20:B20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4"/>
  </sheetPr>
  <dimension ref="A1:W59"/>
  <sheetViews>
    <sheetView zoomScaleNormal="25" zoomScaleSheetLayoutView="10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V21" sqref="V21"/>
    </sheetView>
  </sheetViews>
  <sheetFormatPr baseColWidth="10" defaultColWidth="14" defaultRowHeight="13" x14ac:dyDescent="0.3"/>
  <cols>
    <col min="1" max="1" width="11.26953125" style="42" customWidth="1"/>
    <col min="2" max="2" width="13.81640625" style="42" customWidth="1"/>
    <col min="3" max="3" width="10.81640625" style="42" customWidth="1"/>
    <col min="4" max="5" width="10.54296875" style="42" customWidth="1"/>
    <col min="6" max="6" width="10" style="42" customWidth="1"/>
    <col min="7" max="7" width="8.54296875" style="42" customWidth="1"/>
    <col min="8" max="8" width="9.26953125" style="42" customWidth="1"/>
    <col min="9" max="9" width="10.7265625" style="42" customWidth="1"/>
    <col min="10" max="10" width="11.26953125" style="42" customWidth="1"/>
    <col min="11" max="11" width="10.26953125" style="42" customWidth="1"/>
    <col min="12" max="12" width="9.36328125" style="42" customWidth="1"/>
    <col min="13" max="13" width="10.1796875" style="42" customWidth="1"/>
    <col min="14" max="14" width="7.26953125" style="1" customWidth="1"/>
    <col min="15" max="15" width="10.1796875" style="1" customWidth="1"/>
    <col min="16" max="16" width="9.54296875" style="1" customWidth="1"/>
    <col min="17" max="17" width="4.54296875" style="42" customWidth="1"/>
    <col min="18" max="18" width="9.81640625" style="42" customWidth="1"/>
    <col min="19" max="19" width="8.36328125" style="42" customWidth="1"/>
    <col min="20" max="20" width="9.7265625" style="42" customWidth="1"/>
    <col min="21" max="21" width="8.1796875" style="42" customWidth="1"/>
    <col min="22" max="16384" width="14" style="42"/>
  </cols>
  <sheetData>
    <row r="1" spans="1:23" x14ac:dyDescent="0.3">
      <c r="A1" s="41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3" x14ac:dyDescent="0.3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3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3" x14ac:dyDescent="0.3">
      <c r="A4" s="30" t="s">
        <v>0</v>
      </c>
      <c r="B4" s="30" t="s">
        <v>1</v>
      </c>
      <c r="C4" s="30" t="s">
        <v>2</v>
      </c>
      <c r="D4" s="179" t="s">
        <v>3</v>
      </c>
      <c r="E4" s="180"/>
      <c r="F4" s="180"/>
      <c r="G4" s="180"/>
      <c r="H4" s="181"/>
      <c r="I4" s="179" t="s">
        <v>4</v>
      </c>
      <c r="J4" s="180"/>
      <c r="K4" s="180"/>
      <c r="L4" s="180"/>
      <c r="M4" s="181"/>
      <c r="O4" s="1" t="s">
        <v>130</v>
      </c>
    </row>
    <row r="5" spans="1:23" x14ac:dyDescent="0.3">
      <c r="A5" s="31" t="s">
        <v>5</v>
      </c>
      <c r="B5" s="31" t="s">
        <v>67</v>
      </c>
      <c r="C5" s="31" t="s">
        <v>6</v>
      </c>
      <c r="D5" s="44"/>
      <c r="E5" s="31"/>
      <c r="F5" s="31"/>
      <c r="G5" s="31"/>
      <c r="H5" s="45"/>
      <c r="I5" s="44"/>
      <c r="J5" s="31"/>
      <c r="K5" s="31"/>
      <c r="L5" s="31"/>
      <c r="M5" s="45"/>
      <c r="O5" s="1" t="s">
        <v>124</v>
      </c>
      <c r="P5" s="1" t="s">
        <v>125</v>
      </c>
      <c r="R5" s="42" t="s">
        <v>161</v>
      </c>
    </row>
    <row r="6" spans="1:23" x14ac:dyDescent="0.3">
      <c r="A6" s="31" t="s">
        <v>8</v>
      </c>
      <c r="B6" s="31" t="s">
        <v>41</v>
      </c>
      <c r="C6" s="31" t="s">
        <v>9</v>
      </c>
      <c r="D6" s="44" t="s">
        <v>10</v>
      </c>
      <c r="E6" s="31" t="s">
        <v>44</v>
      </c>
      <c r="F6" s="31" t="s">
        <v>12</v>
      </c>
      <c r="G6" s="31" t="s">
        <v>13</v>
      </c>
      <c r="H6" s="45" t="s">
        <v>14</v>
      </c>
      <c r="I6" s="44" t="s">
        <v>10</v>
      </c>
      <c r="J6" s="31" t="s">
        <v>44</v>
      </c>
      <c r="K6" s="31" t="s">
        <v>15</v>
      </c>
      <c r="L6" s="31" t="s">
        <v>16</v>
      </c>
      <c r="M6" s="45" t="s">
        <v>17</v>
      </c>
      <c r="N6" s="1" t="s">
        <v>1</v>
      </c>
    </row>
    <row r="7" spans="1:23" x14ac:dyDescent="0.3">
      <c r="A7" s="20" t="s">
        <v>76</v>
      </c>
      <c r="B7" s="20" t="s">
        <v>45</v>
      </c>
      <c r="C7" s="21">
        <v>383473</v>
      </c>
      <c r="D7" s="21">
        <v>195977</v>
      </c>
      <c r="E7" s="21">
        <v>195977</v>
      </c>
      <c r="F7" s="21">
        <v>0</v>
      </c>
      <c r="G7" s="21">
        <v>0</v>
      </c>
      <c r="H7" s="21">
        <v>0</v>
      </c>
      <c r="I7" s="21">
        <v>187496</v>
      </c>
      <c r="J7" s="21">
        <v>187496</v>
      </c>
      <c r="K7" s="21">
        <v>0</v>
      </c>
      <c r="L7" s="21">
        <v>0</v>
      </c>
      <c r="M7" s="21">
        <v>0</v>
      </c>
      <c r="R7" s="42" t="s">
        <v>137</v>
      </c>
      <c r="S7" s="42" t="s">
        <v>138</v>
      </c>
      <c r="T7" s="42" t="s">
        <v>137</v>
      </c>
      <c r="U7" s="42" t="s">
        <v>138</v>
      </c>
    </row>
    <row r="8" spans="1:23" x14ac:dyDescent="0.3">
      <c r="A8" s="22" t="s">
        <v>77</v>
      </c>
      <c r="B8" s="22" t="s">
        <v>46</v>
      </c>
      <c r="C8" s="23">
        <v>2936902</v>
      </c>
      <c r="D8" s="23">
        <v>1504533</v>
      </c>
      <c r="E8" s="23">
        <v>1504533</v>
      </c>
      <c r="F8" s="23">
        <v>0</v>
      </c>
      <c r="G8" s="23">
        <v>0</v>
      </c>
      <c r="H8" s="23">
        <v>0</v>
      </c>
      <c r="I8" s="23">
        <v>1432369</v>
      </c>
      <c r="J8" s="23">
        <v>1432369</v>
      </c>
      <c r="K8" s="23">
        <v>0</v>
      </c>
      <c r="L8" s="23">
        <v>0</v>
      </c>
      <c r="M8" s="23">
        <v>0</v>
      </c>
      <c r="N8" s="56" t="s">
        <v>133</v>
      </c>
      <c r="O8" s="1">
        <f t="shared" ref="O8:O18" si="0">E8/D8</f>
        <v>1</v>
      </c>
      <c r="P8" s="1">
        <f t="shared" ref="P8:P18" si="1">J8/I8</f>
        <v>1</v>
      </c>
      <c r="R8" s="42">
        <f>O21</f>
        <v>0.14189356891021065</v>
      </c>
      <c r="S8" s="42">
        <f t="shared" ref="S8:S17" si="2">O8-R8</f>
        <v>0.85810643108978935</v>
      </c>
      <c r="T8" s="42">
        <f>P21</f>
        <v>0.10966392653318126</v>
      </c>
      <c r="U8" s="42">
        <f t="shared" ref="U8:U17" si="3">P8-T8</f>
        <v>0.89033607346681876</v>
      </c>
    </row>
    <row r="9" spans="1:23" x14ac:dyDescent="0.3">
      <c r="A9" s="22" t="s">
        <v>78</v>
      </c>
      <c r="B9" s="22" t="s">
        <v>47</v>
      </c>
      <c r="C9" s="23">
        <v>3579925</v>
      </c>
      <c r="D9" s="23">
        <v>1832977</v>
      </c>
      <c r="E9" s="23">
        <v>1832977</v>
      </c>
      <c r="F9" s="23">
        <v>0</v>
      </c>
      <c r="G9" s="23">
        <v>0</v>
      </c>
      <c r="H9" s="23">
        <v>0</v>
      </c>
      <c r="I9" s="23">
        <v>1746948</v>
      </c>
      <c r="J9" s="23">
        <v>1746948</v>
      </c>
      <c r="K9" s="23">
        <v>0</v>
      </c>
      <c r="L9" s="23">
        <v>0</v>
      </c>
      <c r="M9" s="23">
        <v>0</v>
      </c>
      <c r="N9" s="56" t="s">
        <v>134</v>
      </c>
      <c r="O9" s="1">
        <f t="shared" si="0"/>
        <v>1</v>
      </c>
      <c r="P9" s="1">
        <f t="shared" si="1"/>
        <v>1</v>
      </c>
      <c r="R9" s="42">
        <f>R8</f>
        <v>0.14189356891021065</v>
      </c>
      <c r="S9" s="42">
        <f t="shared" si="2"/>
        <v>0.85810643108978935</v>
      </c>
      <c r="T9" s="42">
        <f>T8</f>
        <v>0.10966392653318126</v>
      </c>
      <c r="U9" s="42">
        <f t="shared" si="3"/>
        <v>0.89033607346681876</v>
      </c>
    </row>
    <row r="10" spans="1:23" x14ac:dyDescent="0.3">
      <c r="A10" s="22" t="s">
        <v>79</v>
      </c>
      <c r="B10" s="22" t="s">
        <v>48</v>
      </c>
      <c r="C10" s="23">
        <v>3815718</v>
      </c>
      <c r="D10" s="23">
        <v>1952300</v>
      </c>
      <c r="E10" s="23">
        <v>1952300</v>
      </c>
      <c r="F10" s="23">
        <v>0</v>
      </c>
      <c r="G10" s="23">
        <v>0</v>
      </c>
      <c r="H10" s="23">
        <v>0</v>
      </c>
      <c r="I10" s="23">
        <v>1863418</v>
      </c>
      <c r="J10" s="23">
        <v>1863417</v>
      </c>
      <c r="K10" s="23">
        <v>1</v>
      </c>
      <c r="L10" s="23">
        <v>0</v>
      </c>
      <c r="M10" s="23">
        <v>0</v>
      </c>
      <c r="N10" s="56" t="s">
        <v>135</v>
      </c>
      <c r="O10" s="1">
        <f t="shared" si="0"/>
        <v>1</v>
      </c>
      <c r="P10" s="1">
        <f t="shared" si="1"/>
        <v>0.99999946335175471</v>
      </c>
      <c r="R10" s="42">
        <f t="shared" ref="R10:R17" si="4">R9</f>
        <v>0.14189356891021065</v>
      </c>
      <c r="S10" s="42">
        <f t="shared" si="2"/>
        <v>0.85810643108978935</v>
      </c>
      <c r="T10" s="42">
        <f t="shared" ref="T10:T17" si="5">T9</f>
        <v>0.10966392653318126</v>
      </c>
      <c r="U10" s="42">
        <f t="shared" si="3"/>
        <v>0.89033553681857347</v>
      </c>
      <c r="V10" s="114"/>
      <c r="W10" s="114"/>
    </row>
    <row r="11" spans="1:23" x14ac:dyDescent="0.3">
      <c r="A11" s="22" t="s">
        <v>80</v>
      </c>
      <c r="B11" s="22" t="s">
        <v>49</v>
      </c>
      <c r="C11" s="23">
        <v>3874030</v>
      </c>
      <c r="D11" s="23">
        <v>1978250</v>
      </c>
      <c r="E11" s="23">
        <v>1977914</v>
      </c>
      <c r="F11" s="23">
        <v>334</v>
      </c>
      <c r="G11" s="23">
        <v>1</v>
      </c>
      <c r="H11" s="23">
        <v>1</v>
      </c>
      <c r="I11" s="23">
        <v>1895780</v>
      </c>
      <c r="J11" s="23">
        <v>1891835</v>
      </c>
      <c r="K11" s="23">
        <v>3898</v>
      </c>
      <c r="L11" s="23">
        <v>13</v>
      </c>
      <c r="M11" s="23">
        <v>34</v>
      </c>
      <c r="N11" s="1" t="s">
        <v>69</v>
      </c>
      <c r="O11" s="1">
        <f t="shared" si="0"/>
        <v>0.99983015291292809</v>
      </c>
      <c r="P11" s="1">
        <f t="shared" si="1"/>
        <v>0.99791906233845695</v>
      </c>
      <c r="R11" s="42">
        <f t="shared" si="4"/>
        <v>0.14189356891021065</v>
      </c>
      <c r="S11" s="42">
        <f t="shared" si="2"/>
        <v>0.85793658400271744</v>
      </c>
      <c r="T11" s="42">
        <f t="shared" si="5"/>
        <v>0.10966392653318126</v>
      </c>
      <c r="U11" s="42">
        <f t="shared" si="3"/>
        <v>0.88825513580527571</v>
      </c>
      <c r="V11" s="114"/>
      <c r="W11" s="114"/>
    </row>
    <row r="12" spans="1:23" x14ac:dyDescent="0.3">
      <c r="A12" s="22" t="s">
        <v>81</v>
      </c>
      <c r="B12" s="22" t="s">
        <v>50</v>
      </c>
      <c r="C12" s="23">
        <v>3852134</v>
      </c>
      <c r="D12" s="23">
        <v>1949996</v>
      </c>
      <c r="E12" s="23">
        <v>1914972</v>
      </c>
      <c r="F12" s="23">
        <v>34338</v>
      </c>
      <c r="G12" s="23">
        <v>48</v>
      </c>
      <c r="H12" s="23">
        <v>638</v>
      </c>
      <c r="I12" s="23">
        <v>1902138</v>
      </c>
      <c r="J12" s="23">
        <v>1785031</v>
      </c>
      <c r="K12" s="23">
        <v>113757</v>
      </c>
      <c r="L12" s="23">
        <v>354</v>
      </c>
      <c r="M12" s="23">
        <v>2996</v>
      </c>
      <c r="N12" s="1" t="s">
        <v>70</v>
      </c>
      <c r="O12" s="1">
        <f t="shared" si="0"/>
        <v>0.98203893751576932</v>
      </c>
      <c r="P12" s="1">
        <f t="shared" si="1"/>
        <v>0.93843401477705612</v>
      </c>
      <c r="R12" s="42">
        <f t="shared" si="4"/>
        <v>0.14189356891021065</v>
      </c>
      <c r="S12" s="42">
        <f t="shared" si="2"/>
        <v>0.84014536860555866</v>
      </c>
      <c r="T12" s="42">
        <f t="shared" si="5"/>
        <v>0.10966392653318126</v>
      </c>
      <c r="U12" s="42">
        <f t="shared" si="3"/>
        <v>0.82877008824387488</v>
      </c>
      <c r="V12" s="114"/>
      <c r="W12" s="114"/>
    </row>
    <row r="13" spans="1:23" x14ac:dyDescent="0.3">
      <c r="A13" s="22" t="s">
        <v>82</v>
      </c>
      <c r="B13" s="22" t="s">
        <v>51</v>
      </c>
      <c r="C13" s="23">
        <v>3931266</v>
      </c>
      <c r="D13" s="23">
        <v>1971604</v>
      </c>
      <c r="E13" s="23">
        <v>1561244</v>
      </c>
      <c r="F13" s="23">
        <v>396111</v>
      </c>
      <c r="G13" s="23">
        <v>550</v>
      </c>
      <c r="H13" s="23">
        <v>13699</v>
      </c>
      <c r="I13" s="23">
        <v>1959662</v>
      </c>
      <c r="J13" s="23">
        <v>1283917</v>
      </c>
      <c r="K13" s="23">
        <v>640819</v>
      </c>
      <c r="L13" s="23">
        <v>3025</v>
      </c>
      <c r="M13" s="23">
        <v>31901</v>
      </c>
      <c r="N13" s="1" t="s">
        <v>71</v>
      </c>
      <c r="O13" s="1">
        <f t="shared" si="0"/>
        <v>0.79186489781923752</v>
      </c>
      <c r="P13" s="1">
        <f t="shared" si="1"/>
        <v>0.65517267773728327</v>
      </c>
      <c r="R13" s="42">
        <f t="shared" si="4"/>
        <v>0.14189356891021065</v>
      </c>
      <c r="S13" s="42">
        <f t="shared" si="2"/>
        <v>0.64997132890902687</v>
      </c>
      <c r="T13" s="42">
        <f t="shared" si="5"/>
        <v>0.10966392653318126</v>
      </c>
      <c r="U13" s="42">
        <f t="shared" si="3"/>
        <v>0.54550875120410203</v>
      </c>
      <c r="V13" s="114"/>
      <c r="W13" s="114"/>
    </row>
    <row r="14" spans="1:23" x14ac:dyDescent="0.3">
      <c r="A14" s="22" t="s">
        <v>83</v>
      </c>
      <c r="B14" s="22" t="s">
        <v>52</v>
      </c>
      <c r="C14" s="23">
        <v>4228691</v>
      </c>
      <c r="D14" s="23">
        <v>2109279</v>
      </c>
      <c r="E14" s="23">
        <v>1102304</v>
      </c>
      <c r="F14" s="23">
        <v>940234</v>
      </c>
      <c r="G14" s="23">
        <v>1782</v>
      </c>
      <c r="H14" s="23">
        <v>64959</v>
      </c>
      <c r="I14" s="23">
        <v>2119412</v>
      </c>
      <c r="J14" s="23">
        <v>881384</v>
      </c>
      <c r="K14" s="23">
        <v>1126845</v>
      </c>
      <c r="L14" s="23">
        <v>7844</v>
      </c>
      <c r="M14" s="23">
        <v>103339</v>
      </c>
      <c r="N14" s="1" t="s">
        <v>72</v>
      </c>
      <c r="O14" s="1">
        <f t="shared" si="0"/>
        <v>0.52259753214249993</v>
      </c>
      <c r="P14" s="1">
        <f t="shared" si="1"/>
        <v>0.41586251281015679</v>
      </c>
      <c r="R14" s="42">
        <f t="shared" si="4"/>
        <v>0.14189356891021065</v>
      </c>
      <c r="S14" s="42">
        <f t="shared" si="2"/>
        <v>0.38070396323228928</v>
      </c>
      <c r="T14" s="42">
        <f t="shared" si="5"/>
        <v>0.10966392653318126</v>
      </c>
      <c r="U14" s="42">
        <f t="shared" si="3"/>
        <v>0.30619858627697555</v>
      </c>
      <c r="V14" s="114"/>
      <c r="W14" s="114"/>
    </row>
    <row r="15" spans="1:23" x14ac:dyDescent="0.3">
      <c r="A15" s="22" t="s">
        <v>84</v>
      </c>
      <c r="B15" s="22" t="s">
        <v>53</v>
      </c>
      <c r="C15" s="23">
        <v>4355048</v>
      </c>
      <c r="D15" s="23">
        <v>2160651</v>
      </c>
      <c r="E15" s="23">
        <v>786356</v>
      </c>
      <c r="F15" s="23">
        <v>1233350</v>
      </c>
      <c r="G15" s="23">
        <v>4188</v>
      </c>
      <c r="H15" s="23">
        <v>136757</v>
      </c>
      <c r="I15" s="23">
        <v>2194397</v>
      </c>
      <c r="J15" s="23">
        <v>624155</v>
      </c>
      <c r="K15" s="23">
        <v>1357483</v>
      </c>
      <c r="L15" s="23">
        <v>17869</v>
      </c>
      <c r="M15" s="23">
        <v>194890</v>
      </c>
      <c r="N15" s="1" t="s">
        <v>73</v>
      </c>
      <c r="O15" s="1">
        <f t="shared" si="0"/>
        <v>0.36394401502139867</v>
      </c>
      <c r="P15" s="1">
        <f t="shared" si="1"/>
        <v>0.28443121276596717</v>
      </c>
      <c r="R15" s="42">
        <f t="shared" si="4"/>
        <v>0.14189356891021065</v>
      </c>
      <c r="S15" s="42">
        <f t="shared" si="2"/>
        <v>0.22205044611118802</v>
      </c>
      <c r="T15" s="42">
        <f t="shared" si="5"/>
        <v>0.10966392653318126</v>
      </c>
      <c r="U15" s="42">
        <f t="shared" si="3"/>
        <v>0.17476728623278592</v>
      </c>
      <c r="V15" s="114"/>
      <c r="W15" s="114"/>
    </row>
    <row r="16" spans="1:23" x14ac:dyDescent="0.3">
      <c r="A16" s="22" t="s">
        <v>85</v>
      </c>
      <c r="B16" s="22" t="s">
        <v>54</v>
      </c>
      <c r="C16" s="23">
        <v>4267331</v>
      </c>
      <c r="D16" s="23">
        <v>2105334</v>
      </c>
      <c r="E16" s="23">
        <v>533364</v>
      </c>
      <c r="F16" s="23">
        <v>1358400</v>
      </c>
      <c r="G16" s="23">
        <v>8757</v>
      </c>
      <c r="H16" s="23">
        <v>204813</v>
      </c>
      <c r="I16" s="23">
        <v>2161997</v>
      </c>
      <c r="J16" s="23">
        <v>409014</v>
      </c>
      <c r="K16" s="23">
        <v>1441853</v>
      </c>
      <c r="L16" s="23">
        <v>36480</v>
      </c>
      <c r="M16" s="23">
        <v>274650</v>
      </c>
      <c r="N16" s="1" t="s">
        <v>74</v>
      </c>
      <c r="O16" s="1">
        <f t="shared" si="0"/>
        <v>0.25333937513002686</v>
      </c>
      <c r="P16" s="1">
        <f t="shared" si="1"/>
        <v>0.18918342624897258</v>
      </c>
      <c r="R16" s="42">
        <f t="shared" si="4"/>
        <v>0.14189356891021065</v>
      </c>
      <c r="S16" s="42">
        <f t="shared" si="2"/>
        <v>0.1114458062198162</v>
      </c>
      <c r="T16" s="42">
        <f t="shared" si="5"/>
        <v>0.10966392653318126</v>
      </c>
      <c r="U16" s="42">
        <f t="shared" si="3"/>
        <v>7.9519499715791322E-2</v>
      </c>
      <c r="V16" s="114"/>
      <c r="W16" s="114"/>
    </row>
    <row r="17" spans="1:23" x14ac:dyDescent="0.3">
      <c r="A17" s="22" t="s">
        <v>86</v>
      </c>
      <c r="B17" s="22" t="s">
        <v>55</v>
      </c>
      <c r="C17" s="23">
        <v>4181989</v>
      </c>
      <c r="D17" s="23">
        <v>2062839</v>
      </c>
      <c r="E17" s="23">
        <v>347470</v>
      </c>
      <c r="F17" s="23">
        <v>1450247</v>
      </c>
      <c r="G17" s="23">
        <v>16095</v>
      </c>
      <c r="H17" s="23">
        <v>249027</v>
      </c>
      <c r="I17" s="23">
        <v>2119150</v>
      </c>
      <c r="J17" s="23">
        <v>269616</v>
      </c>
      <c r="K17" s="23">
        <v>1468753</v>
      </c>
      <c r="L17" s="23">
        <v>64331</v>
      </c>
      <c r="M17" s="23">
        <v>316450</v>
      </c>
      <c r="N17" s="1" t="s">
        <v>75</v>
      </c>
      <c r="O17" s="1">
        <f t="shared" si="0"/>
        <v>0.16844261718922321</v>
      </c>
      <c r="P17" s="1">
        <f t="shared" si="1"/>
        <v>0.12722836986527616</v>
      </c>
      <c r="R17" s="42">
        <f t="shared" si="4"/>
        <v>0.14189356891021065</v>
      </c>
      <c r="S17" s="42">
        <f t="shared" si="2"/>
        <v>2.6549048279012555E-2</v>
      </c>
      <c r="T17" s="42">
        <f t="shared" si="5"/>
        <v>0.10966392653318126</v>
      </c>
      <c r="U17" s="42">
        <f t="shared" si="3"/>
        <v>1.7564443332094906E-2</v>
      </c>
      <c r="V17" s="114"/>
      <c r="W17" s="114"/>
    </row>
    <row r="18" spans="1:23" x14ac:dyDescent="0.3">
      <c r="A18" s="22" t="s">
        <v>87</v>
      </c>
      <c r="B18" s="22" t="s">
        <v>56</v>
      </c>
      <c r="C18" s="23">
        <v>4217308</v>
      </c>
      <c r="D18" s="23">
        <v>2097915</v>
      </c>
      <c r="E18" s="23">
        <v>241983</v>
      </c>
      <c r="F18" s="23">
        <v>1574361</v>
      </c>
      <c r="G18" s="23">
        <v>27312</v>
      </c>
      <c r="H18" s="23">
        <v>254259</v>
      </c>
      <c r="I18" s="23">
        <v>2119393</v>
      </c>
      <c r="J18" s="23">
        <v>195195</v>
      </c>
      <c r="K18" s="23">
        <v>1499389</v>
      </c>
      <c r="L18" s="23">
        <v>108768</v>
      </c>
      <c r="M18" s="23">
        <v>316041</v>
      </c>
      <c r="N18" s="54" t="s">
        <v>136</v>
      </c>
      <c r="O18" s="54">
        <f t="shared" si="0"/>
        <v>0.11534452063119811</v>
      </c>
      <c r="P18" s="54">
        <f t="shared" si="1"/>
        <v>9.2099483201086352E-2</v>
      </c>
    </row>
    <row r="19" spans="1:23" x14ac:dyDescent="0.3">
      <c r="A19" s="24" t="s">
        <v>88</v>
      </c>
      <c r="B19" s="24" t="s">
        <v>57</v>
      </c>
      <c r="C19" s="23">
        <v>3117365</v>
      </c>
      <c r="D19" s="23">
        <v>1548497</v>
      </c>
      <c r="E19" s="23">
        <v>134199</v>
      </c>
      <c r="F19" s="23">
        <v>1216296</v>
      </c>
      <c r="G19" s="23">
        <v>31459</v>
      </c>
      <c r="H19" s="23">
        <v>166543</v>
      </c>
      <c r="I19" s="23">
        <v>1568868</v>
      </c>
      <c r="J19" s="23">
        <v>114012</v>
      </c>
      <c r="K19" s="23">
        <v>1115778</v>
      </c>
      <c r="L19" s="23">
        <v>135760</v>
      </c>
      <c r="M19" s="23">
        <v>203318</v>
      </c>
    </row>
    <row r="20" spans="1:23" x14ac:dyDescent="0.3">
      <c r="A20" s="24" t="s">
        <v>89</v>
      </c>
      <c r="B20" s="24" t="s">
        <v>58</v>
      </c>
      <c r="C20" s="23">
        <v>2605880</v>
      </c>
      <c r="D20" s="23">
        <v>1264025</v>
      </c>
      <c r="E20" s="23">
        <v>105503</v>
      </c>
      <c r="F20" s="23">
        <v>1012691</v>
      </c>
      <c r="G20" s="23">
        <v>41483</v>
      </c>
      <c r="H20" s="23">
        <v>104348</v>
      </c>
      <c r="I20" s="23">
        <v>1341855</v>
      </c>
      <c r="J20" s="23">
        <v>87204</v>
      </c>
      <c r="K20" s="23">
        <v>926329</v>
      </c>
      <c r="L20" s="23">
        <v>197788</v>
      </c>
      <c r="M20" s="23">
        <v>130534</v>
      </c>
    </row>
    <row r="21" spans="1:23" x14ac:dyDescent="0.3">
      <c r="A21" s="24" t="s">
        <v>90</v>
      </c>
      <c r="B21" s="24" t="s">
        <v>59</v>
      </c>
      <c r="C21" s="23">
        <v>2666848</v>
      </c>
      <c r="D21" s="23">
        <v>1237774</v>
      </c>
      <c r="E21" s="23">
        <v>106286</v>
      </c>
      <c r="F21" s="23">
        <v>992691</v>
      </c>
      <c r="G21" s="23">
        <v>64575</v>
      </c>
      <c r="H21" s="23">
        <v>74222</v>
      </c>
      <c r="I21" s="23">
        <v>1429074</v>
      </c>
      <c r="J21" s="23">
        <v>93411</v>
      </c>
      <c r="K21" s="23">
        <v>899723</v>
      </c>
      <c r="L21" s="23">
        <v>334433</v>
      </c>
      <c r="M21" s="23">
        <v>101507</v>
      </c>
      <c r="N21" s="55" t="s">
        <v>131</v>
      </c>
      <c r="O21" s="1">
        <f>0.5*(O18+O17)</f>
        <v>0.14189356891021065</v>
      </c>
      <c r="P21" s="1">
        <f>0.5*(P18+P17)</f>
        <v>0.10966392653318126</v>
      </c>
    </row>
    <row r="22" spans="1:23" x14ac:dyDescent="0.3">
      <c r="A22" s="24" t="s">
        <v>91</v>
      </c>
      <c r="B22" s="24" t="s">
        <v>60</v>
      </c>
      <c r="C22" s="23">
        <v>2510219</v>
      </c>
      <c r="D22" s="23">
        <v>1099529</v>
      </c>
      <c r="E22" s="23">
        <v>92145</v>
      </c>
      <c r="F22" s="23">
        <v>868785</v>
      </c>
      <c r="G22" s="23">
        <v>90194</v>
      </c>
      <c r="H22" s="23">
        <v>48405</v>
      </c>
      <c r="I22" s="23">
        <v>1410690</v>
      </c>
      <c r="J22" s="23">
        <v>100778</v>
      </c>
      <c r="K22" s="23">
        <v>746275</v>
      </c>
      <c r="L22" s="23">
        <v>487953</v>
      </c>
      <c r="M22" s="23">
        <v>75684</v>
      </c>
    </row>
    <row r="23" spans="1:23" x14ac:dyDescent="0.3">
      <c r="A23" s="24" t="s">
        <v>92</v>
      </c>
      <c r="B23" s="24" t="s">
        <v>61</v>
      </c>
      <c r="C23" s="23">
        <v>2127829</v>
      </c>
      <c r="D23" s="23">
        <v>860014</v>
      </c>
      <c r="E23" s="23">
        <v>67184</v>
      </c>
      <c r="F23" s="23">
        <v>655913</v>
      </c>
      <c r="G23" s="23">
        <v>109404</v>
      </c>
      <c r="H23" s="23">
        <v>27513</v>
      </c>
      <c r="I23" s="23">
        <v>1267815</v>
      </c>
      <c r="J23" s="23">
        <v>97700</v>
      </c>
      <c r="K23" s="23">
        <v>503540</v>
      </c>
      <c r="L23" s="23">
        <v>612087</v>
      </c>
      <c r="M23" s="23">
        <v>54488</v>
      </c>
      <c r="N23" s="55" t="s">
        <v>132</v>
      </c>
      <c r="O23" s="1">
        <f>(5*SUM(O8:O17)-O21*50)/(1-O21)</f>
        <v>32.997782288129756</v>
      </c>
      <c r="P23" s="1">
        <f>(5*SUM(P8:P17)-P21*50)/(1-P21)</f>
        <v>30.952309126945192</v>
      </c>
    </row>
    <row r="24" spans="1:23" x14ac:dyDescent="0.3">
      <c r="A24" s="24" t="s">
        <v>93</v>
      </c>
      <c r="B24" s="24" t="s">
        <v>62</v>
      </c>
      <c r="C24" s="23">
        <v>1284377</v>
      </c>
      <c r="D24" s="23">
        <v>474928</v>
      </c>
      <c r="E24" s="23">
        <v>32486</v>
      </c>
      <c r="F24" s="23">
        <v>340861</v>
      </c>
      <c r="G24" s="23">
        <v>89384</v>
      </c>
      <c r="H24" s="23">
        <v>12197</v>
      </c>
      <c r="I24" s="23">
        <v>809449</v>
      </c>
      <c r="J24" s="23">
        <v>60710</v>
      </c>
      <c r="K24" s="23">
        <v>211685</v>
      </c>
      <c r="L24" s="23">
        <v>506194</v>
      </c>
      <c r="M24" s="23">
        <v>30860</v>
      </c>
    </row>
    <row r="25" spans="1:23" x14ac:dyDescent="0.3">
      <c r="A25" s="24" t="s">
        <v>94</v>
      </c>
      <c r="B25" s="24" t="s">
        <v>63</v>
      </c>
      <c r="C25" s="23">
        <v>746638</v>
      </c>
      <c r="D25" s="23">
        <v>229020</v>
      </c>
      <c r="E25" s="23">
        <v>14790</v>
      </c>
      <c r="F25" s="23">
        <v>137063</v>
      </c>
      <c r="G25" s="23">
        <v>72845</v>
      </c>
      <c r="H25" s="23">
        <v>4322</v>
      </c>
      <c r="I25" s="23">
        <v>517618</v>
      </c>
      <c r="J25" s="23">
        <v>39862</v>
      </c>
      <c r="K25" s="23">
        <v>63717</v>
      </c>
      <c r="L25" s="23">
        <v>397024</v>
      </c>
      <c r="M25" s="23">
        <v>17015</v>
      </c>
    </row>
    <row r="26" spans="1:23" x14ac:dyDescent="0.3">
      <c r="A26" s="24" t="s">
        <v>95</v>
      </c>
      <c r="B26" s="24" t="s">
        <v>64</v>
      </c>
      <c r="C26" s="23">
        <v>394554</v>
      </c>
      <c r="D26" s="23">
        <v>98007</v>
      </c>
      <c r="E26" s="23">
        <v>6753</v>
      </c>
      <c r="F26" s="23">
        <v>42954</v>
      </c>
      <c r="G26" s="23">
        <v>46802</v>
      </c>
      <c r="H26" s="23">
        <v>1498</v>
      </c>
      <c r="I26" s="23">
        <v>296547</v>
      </c>
      <c r="J26" s="23">
        <v>24902</v>
      </c>
      <c r="K26" s="23">
        <v>16616</v>
      </c>
      <c r="L26" s="23">
        <v>246605</v>
      </c>
      <c r="M26" s="23">
        <v>8424</v>
      </c>
    </row>
    <row r="27" spans="1:23" x14ac:dyDescent="0.3">
      <c r="A27" s="24" t="s">
        <v>96</v>
      </c>
      <c r="B27" s="24" t="s">
        <v>65</v>
      </c>
      <c r="C27" s="23">
        <v>100572</v>
      </c>
      <c r="D27" s="23">
        <v>19348</v>
      </c>
      <c r="E27" s="23">
        <v>1914</v>
      </c>
      <c r="F27" s="23">
        <v>4247</v>
      </c>
      <c r="G27" s="23">
        <v>12943</v>
      </c>
      <c r="H27" s="23">
        <v>244</v>
      </c>
      <c r="I27" s="23">
        <v>81224</v>
      </c>
      <c r="J27" s="23">
        <v>8670</v>
      </c>
      <c r="K27" s="23">
        <v>1955</v>
      </c>
      <c r="L27" s="23">
        <v>68761</v>
      </c>
      <c r="M27" s="23">
        <v>1838</v>
      </c>
    </row>
    <row r="28" spans="1:23" x14ac:dyDescent="0.3">
      <c r="A28" s="25" t="s">
        <v>97</v>
      </c>
      <c r="B28" s="25" t="s">
        <v>66</v>
      </c>
      <c r="C28" s="26">
        <v>14294</v>
      </c>
      <c r="D28" s="26">
        <v>2384</v>
      </c>
      <c r="E28" s="26">
        <v>510</v>
      </c>
      <c r="F28" s="26">
        <v>113</v>
      </c>
      <c r="G28" s="26">
        <v>1727</v>
      </c>
      <c r="H28" s="26">
        <v>34</v>
      </c>
      <c r="I28" s="26">
        <v>11910</v>
      </c>
      <c r="J28" s="26">
        <v>1660</v>
      </c>
      <c r="K28" s="26">
        <v>231</v>
      </c>
      <c r="L28" s="26">
        <v>9802</v>
      </c>
      <c r="M28" s="26">
        <v>217</v>
      </c>
    </row>
    <row r="29" spans="1:23" x14ac:dyDescent="0.3">
      <c r="A29" s="182" t="s">
        <v>10</v>
      </c>
      <c r="B29" s="182"/>
      <c r="C29" s="19">
        <v>59192391</v>
      </c>
      <c r="D29" s="19">
        <v>28755181</v>
      </c>
      <c r="E29" s="19">
        <v>14513164</v>
      </c>
      <c r="F29" s="19">
        <v>12258989</v>
      </c>
      <c r="G29" s="19">
        <v>619549</v>
      </c>
      <c r="H29" s="19">
        <v>1363479</v>
      </c>
      <c r="I29" s="19">
        <v>30437210</v>
      </c>
      <c r="J29" s="19">
        <v>13199286</v>
      </c>
      <c r="K29" s="19">
        <v>12138647</v>
      </c>
      <c r="L29" s="19">
        <v>3235091</v>
      </c>
      <c r="M29" s="19">
        <v>1864186</v>
      </c>
    </row>
    <row r="30" spans="1:23" x14ac:dyDescent="0.3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3" spans="1:13" x14ac:dyDescent="0.3">
      <c r="A33" s="46"/>
      <c r="B33" s="46"/>
      <c r="C33" s="46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x14ac:dyDescent="0.3">
      <c r="B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x14ac:dyDescent="0.3"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x14ac:dyDescent="0.3">
      <c r="A38" s="46"/>
    </row>
    <row r="39" spans="1:13" x14ac:dyDescent="0.3">
      <c r="A39" s="49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x14ac:dyDescent="0.3">
      <c r="A40" s="49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x14ac:dyDescent="0.3">
      <c r="A41" s="49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x14ac:dyDescent="0.3">
      <c r="A42" s="49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x14ac:dyDescent="0.3">
      <c r="A43" s="49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x14ac:dyDescent="0.3">
      <c r="A44" s="49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x14ac:dyDescent="0.3">
      <c r="A45" s="49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x14ac:dyDescent="0.3">
      <c r="A46" s="49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x14ac:dyDescent="0.3">
      <c r="A47" s="4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x14ac:dyDescent="0.3">
      <c r="A48" s="49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x14ac:dyDescent="0.3">
      <c r="A49" s="49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x14ac:dyDescent="0.3">
      <c r="A50" s="49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3.25" customHeight="1" x14ac:dyDescent="0.3">
      <c r="A51" s="49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x14ac:dyDescent="0.3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x14ac:dyDescent="0.3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x14ac:dyDescent="0.3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x14ac:dyDescent="0.3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x14ac:dyDescent="0.3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x14ac:dyDescent="0.3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x14ac:dyDescent="0.3"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x14ac:dyDescent="0.3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</sheetData>
  <mergeCells count="3">
    <mergeCell ref="A29:B29"/>
    <mergeCell ref="I4:M4"/>
    <mergeCell ref="D4:H4"/>
  </mergeCells>
  <phoneticPr fontId="2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</sheetPr>
  <dimension ref="A1:U30"/>
  <sheetViews>
    <sheetView topLeftCell="C1" zoomScale="140" zoomScaleNormal="140" workbookViewId="0">
      <selection activeCell="M15" sqref="M15"/>
    </sheetView>
  </sheetViews>
  <sheetFormatPr baseColWidth="10" defaultColWidth="11.36328125" defaultRowHeight="13" x14ac:dyDescent="0.3"/>
  <cols>
    <col min="1" max="1" width="11.36328125" style="1"/>
    <col min="2" max="2" width="17.1796875" style="1" customWidth="1"/>
    <col min="3" max="3" width="11.36328125" style="1"/>
    <col min="4" max="4" width="10.1796875" style="1" customWidth="1"/>
    <col min="5" max="5" width="8.81640625" style="1" customWidth="1"/>
    <col min="6" max="6" width="11.36328125" style="1"/>
    <col min="7" max="7" width="9.7265625" style="1" customWidth="1"/>
    <col min="8" max="8" width="8.81640625" style="1" customWidth="1"/>
    <col min="9" max="9" width="6.36328125" style="1" customWidth="1"/>
    <col min="10" max="10" width="5.81640625" style="1" customWidth="1"/>
    <col min="11" max="11" width="8.26953125" style="1" customWidth="1"/>
    <col min="12" max="12" width="9" style="1" customWidth="1"/>
    <col min="13" max="13" width="9.26953125" style="1" customWidth="1"/>
    <col min="14" max="14" width="7.7265625" style="1" customWidth="1"/>
    <col min="15" max="15" width="7.26953125" style="1" customWidth="1"/>
    <col min="16" max="16" width="8.54296875" style="1" customWidth="1"/>
    <col min="17" max="17" width="9.1796875" style="1" customWidth="1"/>
    <col min="18" max="18" width="7.54296875" style="1" customWidth="1"/>
    <col min="19" max="19" width="7.1796875" style="1" customWidth="1"/>
    <col min="20" max="24" width="8.36328125" style="1" customWidth="1"/>
    <col min="25" max="25" width="7.54296875" style="1" customWidth="1"/>
    <col min="26" max="26" width="7.81640625" style="1" customWidth="1"/>
    <col min="27" max="27" width="7.7265625" style="1" customWidth="1"/>
    <col min="28" max="16384" width="11.36328125" style="1"/>
  </cols>
  <sheetData>
    <row r="1" spans="1:21" x14ac:dyDescent="0.3">
      <c r="A1" s="41" t="s">
        <v>98</v>
      </c>
      <c r="B1" s="41"/>
      <c r="C1" s="41"/>
      <c r="D1" s="41"/>
      <c r="E1" s="41"/>
      <c r="F1" s="41"/>
      <c r="G1" s="41"/>
      <c r="H1" s="41"/>
      <c r="I1" s="41"/>
    </row>
    <row r="2" spans="1:21" x14ac:dyDescent="0.3">
      <c r="A2" s="43" t="s">
        <v>43</v>
      </c>
      <c r="B2" s="43"/>
      <c r="C2" s="43"/>
      <c r="D2" s="43"/>
      <c r="E2" s="43"/>
      <c r="F2" s="43"/>
      <c r="G2" s="43"/>
      <c r="H2" s="43"/>
      <c r="I2" s="43"/>
    </row>
    <row r="3" spans="1:21" x14ac:dyDescent="0.3">
      <c r="A3" s="43"/>
      <c r="B3" s="43"/>
      <c r="C3" s="43"/>
      <c r="D3" s="43"/>
      <c r="E3" s="43"/>
      <c r="F3" s="43"/>
      <c r="G3" s="43"/>
      <c r="H3" s="43"/>
      <c r="I3" s="43"/>
    </row>
    <row r="4" spans="1:21" x14ac:dyDescent="0.3">
      <c r="A4" s="30" t="s">
        <v>0</v>
      </c>
      <c r="B4" s="30" t="s">
        <v>1</v>
      </c>
      <c r="C4" s="57" t="s">
        <v>3</v>
      </c>
      <c r="D4" s="58"/>
      <c r="E4" s="59"/>
      <c r="F4" s="57" t="s">
        <v>4</v>
      </c>
      <c r="G4" s="58"/>
      <c r="H4" s="59"/>
      <c r="I4" s="43"/>
      <c r="J4" s="1" t="s">
        <v>191</v>
      </c>
    </row>
    <row r="5" spans="1:21" x14ac:dyDescent="0.3">
      <c r="A5" s="31" t="s">
        <v>5</v>
      </c>
      <c r="B5" s="31" t="s">
        <v>67</v>
      </c>
      <c r="C5" s="30"/>
      <c r="D5" s="30"/>
      <c r="E5" s="30"/>
      <c r="F5" s="30"/>
      <c r="G5" s="30"/>
      <c r="H5" s="30"/>
      <c r="I5" s="78"/>
    </row>
    <row r="6" spans="1:21" x14ac:dyDescent="0.3">
      <c r="A6" s="32" t="s">
        <v>8</v>
      </c>
      <c r="B6" s="32" t="s">
        <v>41</v>
      </c>
      <c r="C6" s="32" t="s">
        <v>44</v>
      </c>
      <c r="D6" s="32" t="s">
        <v>139</v>
      </c>
      <c r="E6" s="32" t="s">
        <v>140</v>
      </c>
      <c r="F6" s="32" t="s">
        <v>44</v>
      </c>
      <c r="G6" s="32" t="s">
        <v>139</v>
      </c>
      <c r="H6" s="32" t="s">
        <v>140</v>
      </c>
      <c r="I6" s="31"/>
      <c r="J6" s="71" t="s">
        <v>1</v>
      </c>
      <c r="K6" s="179" t="s">
        <v>3</v>
      </c>
      <c r="L6" s="180"/>
      <c r="M6" s="180"/>
      <c r="N6" s="181"/>
      <c r="O6" s="71" t="s">
        <v>1</v>
      </c>
      <c r="P6" s="179" t="s">
        <v>4</v>
      </c>
      <c r="Q6" s="180"/>
      <c r="R6" s="180"/>
      <c r="S6" s="181"/>
    </row>
    <row r="7" spans="1:21" x14ac:dyDescent="0.3">
      <c r="A7" s="22" t="s">
        <v>79</v>
      </c>
      <c r="B7" s="22" t="s">
        <v>48</v>
      </c>
      <c r="C7" s="60">
        <v>1952300</v>
      </c>
      <c r="D7" s="61">
        <v>0</v>
      </c>
      <c r="E7" s="60">
        <v>362</v>
      </c>
      <c r="F7" s="60">
        <v>1863417</v>
      </c>
      <c r="G7" s="60">
        <v>16</v>
      </c>
      <c r="H7" s="60">
        <v>235</v>
      </c>
      <c r="I7" s="60"/>
      <c r="J7" s="72" t="s">
        <v>149</v>
      </c>
      <c r="K7" s="68" t="s">
        <v>141</v>
      </c>
      <c r="L7" s="68" t="s">
        <v>142</v>
      </c>
      <c r="M7" s="68" t="s">
        <v>143</v>
      </c>
      <c r="N7" s="68" t="s">
        <v>144</v>
      </c>
      <c r="O7" s="72" t="s">
        <v>149</v>
      </c>
      <c r="P7" s="68" t="s">
        <v>141</v>
      </c>
      <c r="Q7" s="68" t="s">
        <v>142</v>
      </c>
      <c r="R7" s="68" t="s">
        <v>143</v>
      </c>
      <c r="S7" s="68" t="s">
        <v>144</v>
      </c>
    </row>
    <row r="8" spans="1:21" x14ac:dyDescent="0.3">
      <c r="A8" s="22" t="s">
        <v>80</v>
      </c>
      <c r="B8" s="22" t="s">
        <v>49</v>
      </c>
      <c r="C8" s="60">
        <v>1977914</v>
      </c>
      <c r="D8" s="61">
        <v>992</v>
      </c>
      <c r="E8" s="60">
        <v>1420</v>
      </c>
      <c r="F8" s="60">
        <v>1891835</v>
      </c>
      <c r="G8" s="60">
        <v>6236</v>
      </c>
      <c r="H8" s="60">
        <v>547</v>
      </c>
      <c r="I8" s="60"/>
      <c r="J8" s="71">
        <v>15</v>
      </c>
      <c r="K8" s="73">
        <f>D8/C8</f>
        <v>5.0153848953999008E-4</v>
      </c>
      <c r="L8" s="73">
        <f t="shared" ref="L8:L18" si="0">(2*5*K8)/(2+5*K8)</f>
        <v>2.5045521244762407E-3</v>
      </c>
      <c r="M8" s="69">
        <v>10000</v>
      </c>
      <c r="N8" s="74">
        <f t="shared" ref="N8:N18" si="1">M8*L8</f>
        <v>25.045521244762408</v>
      </c>
      <c r="O8" s="71">
        <v>15</v>
      </c>
      <c r="P8" s="73">
        <f t="shared" ref="P8:P18" si="2">G8/F8</f>
        <v>3.2962705521358891E-3</v>
      </c>
      <c r="Q8" s="73">
        <f t="shared" ref="Q8:Q18" si="3">(2*5*P8)/(2+5*P8)</f>
        <v>1.6346645346474956E-2</v>
      </c>
      <c r="R8" s="69">
        <v>10000</v>
      </c>
      <c r="S8" s="74">
        <f t="shared" ref="S8:S18" si="4">R8*Q8</f>
        <v>163.46645346474958</v>
      </c>
      <c r="U8" s="65"/>
    </row>
    <row r="9" spans="1:21" x14ac:dyDescent="0.3">
      <c r="A9" s="22" t="s">
        <v>81</v>
      </c>
      <c r="B9" s="22" t="s">
        <v>50</v>
      </c>
      <c r="C9" s="60">
        <v>1914972</v>
      </c>
      <c r="D9" s="61">
        <v>29152</v>
      </c>
      <c r="E9" s="60">
        <v>1935</v>
      </c>
      <c r="F9" s="60">
        <v>1785031</v>
      </c>
      <c r="G9" s="60">
        <v>61484</v>
      </c>
      <c r="H9" s="60">
        <v>605</v>
      </c>
      <c r="I9" s="60"/>
      <c r="J9" s="6">
        <f t="shared" ref="J9:J19" si="5">J8+5</f>
        <v>20</v>
      </c>
      <c r="K9" s="75">
        <f>D9/C9</f>
        <v>1.5223199085939637E-2</v>
      </c>
      <c r="L9" s="75">
        <f t="shared" si="0"/>
        <v>7.3325378348086265E-2</v>
      </c>
      <c r="M9" s="76">
        <f t="shared" ref="M9:M19" si="6">M8-N8</f>
        <v>9974.9544787552368</v>
      </c>
      <c r="N9" s="76">
        <f t="shared" si="1"/>
        <v>731.41731115966536</v>
      </c>
      <c r="O9" s="6">
        <f t="shared" ref="O9:O19" si="7">O8+5</f>
        <v>20</v>
      </c>
      <c r="P9" s="75">
        <f t="shared" si="2"/>
        <v>3.4444219736239873E-2</v>
      </c>
      <c r="Q9" s="75">
        <f t="shared" si="3"/>
        <v>0.15856682248944032</v>
      </c>
      <c r="R9" s="76">
        <f t="shared" ref="R9:R19" si="8">R8-S8</f>
        <v>9836.5335465352509</v>
      </c>
      <c r="S9" s="76">
        <f t="shared" si="4"/>
        <v>1559.74786878488</v>
      </c>
      <c r="U9" s="65"/>
    </row>
    <row r="10" spans="1:21" x14ac:dyDescent="0.3">
      <c r="A10" s="22" t="s">
        <v>82</v>
      </c>
      <c r="B10" s="22" t="s">
        <v>51</v>
      </c>
      <c r="C10" s="60">
        <v>1561244</v>
      </c>
      <c r="D10" s="61">
        <v>100552</v>
      </c>
      <c r="E10" s="60">
        <v>1873</v>
      </c>
      <c r="F10" s="60">
        <v>1283917</v>
      </c>
      <c r="G10" s="60">
        <v>98530</v>
      </c>
      <c r="H10" s="60">
        <v>563</v>
      </c>
      <c r="I10" s="60"/>
      <c r="J10" s="6">
        <f t="shared" si="5"/>
        <v>25</v>
      </c>
      <c r="K10" s="75">
        <f t="shared" ref="K10:K18" si="9">D10/C10</f>
        <v>6.440505135648239E-2</v>
      </c>
      <c r="L10" s="75">
        <f t="shared" si="0"/>
        <v>0.27736585193619856</v>
      </c>
      <c r="M10" s="76">
        <f t="shared" si="6"/>
        <v>9243.5371675955721</v>
      </c>
      <c r="N10" s="76">
        <f t="shared" si="1"/>
        <v>2563.8415613940615</v>
      </c>
      <c r="O10" s="6">
        <f t="shared" si="7"/>
        <v>25</v>
      </c>
      <c r="P10" s="75">
        <f t="shared" si="2"/>
        <v>7.6741720843325548E-2</v>
      </c>
      <c r="Q10" s="75">
        <f t="shared" si="3"/>
        <v>0.32194254242139481</v>
      </c>
      <c r="R10" s="76">
        <f t="shared" si="8"/>
        <v>8276.7856777503712</v>
      </c>
      <c r="S10" s="76">
        <f t="shared" si="4"/>
        <v>2664.649424171942</v>
      </c>
      <c r="U10" s="65"/>
    </row>
    <row r="11" spans="1:21" x14ac:dyDescent="0.3">
      <c r="A11" s="22" t="s">
        <v>83</v>
      </c>
      <c r="B11" s="22" t="s">
        <v>52</v>
      </c>
      <c r="C11" s="60">
        <v>1102304</v>
      </c>
      <c r="D11" s="61">
        <v>60845</v>
      </c>
      <c r="E11" s="60">
        <v>1836</v>
      </c>
      <c r="F11" s="60">
        <v>881384</v>
      </c>
      <c r="G11" s="60">
        <v>42914</v>
      </c>
      <c r="H11" s="60">
        <v>599</v>
      </c>
      <c r="I11" s="60"/>
      <c r="J11" s="6">
        <f t="shared" si="5"/>
        <v>30</v>
      </c>
      <c r="K11" s="75">
        <f t="shared" si="9"/>
        <v>5.519802159839754E-2</v>
      </c>
      <c r="L11" s="75">
        <f t="shared" si="0"/>
        <v>0.24252311732187837</v>
      </c>
      <c r="M11" s="76">
        <f t="shared" si="6"/>
        <v>6679.6956062015106</v>
      </c>
      <c r="N11" s="76">
        <f t="shared" si="1"/>
        <v>1619.9806011772444</v>
      </c>
      <c r="O11" s="6">
        <f t="shared" si="7"/>
        <v>30</v>
      </c>
      <c r="P11" s="75">
        <f t="shared" si="2"/>
        <v>4.8689334047361879E-2</v>
      </c>
      <c r="Q11" s="75">
        <f t="shared" si="3"/>
        <v>0.21702915738229883</v>
      </c>
      <c r="R11" s="76">
        <f t="shared" si="8"/>
        <v>5612.1362535784292</v>
      </c>
      <c r="S11" s="76">
        <f t="shared" si="4"/>
        <v>1217.997202228778</v>
      </c>
      <c r="U11" s="65"/>
    </row>
    <row r="12" spans="1:21" x14ac:dyDescent="0.3">
      <c r="A12" s="22" t="s">
        <v>84</v>
      </c>
      <c r="B12" s="22" t="s">
        <v>53</v>
      </c>
      <c r="C12" s="60">
        <v>786356</v>
      </c>
      <c r="D12" s="61">
        <v>26549</v>
      </c>
      <c r="E12" s="60">
        <v>2238</v>
      </c>
      <c r="F12" s="60">
        <v>624155</v>
      </c>
      <c r="G12" s="60">
        <v>18195</v>
      </c>
      <c r="H12" s="60">
        <v>771</v>
      </c>
      <c r="I12" s="60"/>
      <c r="J12" s="6">
        <f t="shared" si="5"/>
        <v>35</v>
      </c>
      <c r="K12" s="75">
        <f t="shared" si="9"/>
        <v>3.3762061966844531E-2</v>
      </c>
      <c r="L12" s="75">
        <f t="shared" si="0"/>
        <v>0.15567088469542179</v>
      </c>
      <c r="M12" s="76">
        <f t="shared" si="6"/>
        <v>5059.7150050242662</v>
      </c>
      <c r="N12" s="76">
        <f t="shared" si="1"/>
        <v>787.65031113882799</v>
      </c>
      <c r="O12" s="6">
        <f t="shared" si="7"/>
        <v>35</v>
      </c>
      <c r="P12" s="75">
        <f t="shared" si="2"/>
        <v>2.91514127099839E-2</v>
      </c>
      <c r="Q12" s="75">
        <f t="shared" si="3"/>
        <v>0.13585607245657197</v>
      </c>
      <c r="R12" s="76">
        <f t="shared" si="8"/>
        <v>4394.1390513496517</v>
      </c>
      <c r="S12" s="76">
        <f t="shared" si="4"/>
        <v>596.97047334441072</v>
      </c>
      <c r="U12" s="65"/>
    </row>
    <row r="13" spans="1:21" x14ac:dyDescent="0.3">
      <c r="A13" s="22" t="s">
        <v>85</v>
      </c>
      <c r="B13" s="22" t="s">
        <v>54</v>
      </c>
      <c r="C13" s="60">
        <v>533364</v>
      </c>
      <c r="D13" s="61">
        <v>11064</v>
      </c>
      <c r="E13" s="60">
        <v>2382</v>
      </c>
      <c r="F13" s="60">
        <v>409014</v>
      </c>
      <c r="G13" s="60">
        <v>7460</v>
      </c>
      <c r="H13" s="60">
        <v>752</v>
      </c>
      <c r="I13" s="60"/>
      <c r="J13" s="6">
        <f t="shared" si="5"/>
        <v>40</v>
      </c>
      <c r="K13" s="75">
        <f t="shared" si="9"/>
        <v>2.0743807231084214E-2</v>
      </c>
      <c r="L13" s="75">
        <f t="shared" si="0"/>
        <v>9.8605407255304575E-2</v>
      </c>
      <c r="M13" s="76">
        <f t="shared" si="6"/>
        <v>4272.0646938854379</v>
      </c>
      <c r="N13" s="76">
        <f t="shared" si="1"/>
        <v>421.24867896158167</v>
      </c>
      <c r="O13" s="6">
        <f t="shared" si="7"/>
        <v>40</v>
      </c>
      <c r="P13" s="75">
        <f t="shared" si="2"/>
        <v>1.8238984484638669E-2</v>
      </c>
      <c r="Q13" s="75">
        <f t="shared" si="3"/>
        <v>8.7218002918178786E-2</v>
      </c>
      <c r="R13" s="76">
        <f t="shared" si="8"/>
        <v>3797.1685780052412</v>
      </c>
      <c r="S13" s="76">
        <f t="shared" si="4"/>
        <v>331.18146011727794</v>
      </c>
    </row>
    <row r="14" spans="1:21" x14ac:dyDescent="0.3">
      <c r="A14" s="22" t="s">
        <v>86</v>
      </c>
      <c r="B14" s="22" t="s">
        <v>55</v>
      </c>
      <c r="C14" s="60">
        <v>347470</v>
      </c>
      <c r="D14" s="61">
        <v>4500</v>
      </c>
      <c r="E14" s="60">
        <v>2647</v>
      </c>
      <c r="F14" s="60">
        <v>269616</v>
      </c>
      <c r="G14" s="60">
        <v>2933</v>
      </c>
      <c r="H14" s="60">
        <v>835</v>
      </c>
      <c r="I14" s="60"/>
      <c r="J14" s="6">
        <f t="shared" si="5"/>
        <v>45</v>
      </c>
      <c r="K14" s="75">
        <f t="shared" si="9"/>
        <v>1.2950758338849398E-2</v>
      </c>
      <c r="L14" s="75">
        <f t="shared" si="0"/>
        <v>6.2723015165031218E-2</v>
      </c>
      <c r="M14" s="76">
        <f t="shared" si="6"/>
        <v>3850.8160149238561</v>
      </c>
      <c r="N14" s="76">
        <f t="shared" si="1"/>
        <v>241.5347913018141</v>
      </c>
      <c r="O14" s="6">
        <f t="shared" si="7"/>
        <v>45</v>
      </c>
      <c r="P14" s="75">
        <f t="shared" si="2"/>
        <v>1.087843451427215E-2</v>
      </c>
      <c r="Q14" s="75">
        <f t="shared" si="3"/>
        <v>5.2952083149033123E-2</v>
      </c>
      <c r="R14" s="76">
        <f t="shared" si="8"/>
        <v>3465.9871178879634</v>
      </c>
      <c r="S14" s="76">
        <f t="shared" si="4"/>
        <v>183.5312380598811</v>
      </c>
    </row>
    <row r="15" spans="1:21" x14ac:dyDescent="0.3">
      <c r="A15" s="22" t="s">
        <v>87</v>
      </c>
      <c r="B15" s="22" t="s">
        <v>56</v>
      </c>
      <c r="C15" s="60">
        <v>241983</v>
      </c>
      <c r="D15" s="61">
        <v>2026</v>
      </c>
      <c r="E15" s="60">
        <v>2782</v>
      </c>
      <c r="F15" s="60">
        <v>195195</v>
      </c>
      <c r="G15" s="60">
        <v>1430</v>
      </c>
      <c r="H15" s="60">
        <v>870</v>
      </c>
      <c r="I15" s="60"/>
      <c r="J15" s="6">
        <f t="shared" si="5"/>
        <v>50</v>
      </c>
      <c r="K15" s="75">
        <f t="shared" si="9"/>
        <v>8.3724889764983483E-3</v>
      </c>
      <c r="L15" s="75">
        <f t="shared" si="0"/>
        <v>4.1004177325863797E-2</v>
      </c>
      <c r="M15" s="76">
        <f t="shared" si="6"/>
        <v>3609.281223622042</v>
      </c>
      <c r="N15" s="76">
        <f t="shared" si="1"/>
        <v>147.99560731230886</v>
      </c>
      <c r="O15" s="6">
        <f t="shared" si="7"/>
        <v>50</v>
      </c>
      <c r="P15" s="75">
        <f t="shared" si="2"/>
        <v>7.326007326007326E-3</v>
      </c>
      <c r="Q15" s="75">
        <f t="shared" si="3"/>
        <v>3.5971223021582739E-2</v>
      </c>
      <c r="R15" s="76">
        <f t="shared" si="8"/>
        <v>3282.4558798280823</v>
      </c>
      <c r="S15" s="76">
        <f t="shared" si="4"/>
        <v>118.07395251180154</v>
      </c>
    </row>
    <row r="16" spans="1:21" x14ac:dyDescent="0.3">
      <c r="A16" s="24" t="s">
        <v>88</v>
      </c>
      <c r="B16" s="24" t="s">
        <v>57</v>
      </c>
      <c r="C16" s="60">
        <v>134199</v>
      </c>
      <c r="D16" s="61">
        <v>686</v>
      </c>
      <c r="E16" s="60">
        <v>2106</v>
      </c>
      <c r="F16" s="60">
        <v>114012</v>
      </c>
      <c r="G16" s="60">
        <v>436</v>
      </c>
      <c r="H16" s="60">
        <v>715</v>
      </c>
      <c r="I16" s="60"/>
      <c r="J16" s="6">
        <f t="shared" si="5"/>
        <v>55</v>
      </c>
      <c r="K16" s="75">
        <f t="shared" si="9"/>
        <v>5.1118115634244668E-3</v>
      </c>
      <c r="L16" s="75">
        <f t="shared" si="0"/>
        <v>2.5236546639786923E-2</v>
      </c>
      <c r="M16" s="76">
        <f t="shared" si="6"/>
        <v>3461.2856163097331</v>
      </c>
      <c r="N16" s="76">
        <f t="shared" si="1"/>
        <v>87.350895889624198</v>
      </c>
      <c r="O16" s="6">
        <f t="shared" si="7"/>
        <v>55</v>
      </c>
      <c r="P16" s="75">
        <f t="shared" si="2"/>
        <v>3.8241588604708276E-3</v>
      </c>
      <c r="Q16" s="75">
        <f t="shared" si="3"/>
        <v>1.8939723028270579E-2</v>
      </c>
      <c r="R16" s="76">
        <f t="shared" si="8"/>
        <v>3164.3819273162808</v>
      </c>
      <c r="S16" s="76">
        <f t="shared" si="4"/>
        <v>59.9325172590354</v>
      </c>
    </row>
    <row r="17" spans="1:19" x14ac:dyDescent="0.3">
      <c r="A17" s="24" t="s">
        <v>89</v>
      </c>
      <c r="B17" s="24" t="s">
        <v>58</v>
      </c>
      <c r="C17" s="60">
        <v>105503</v>
      </c>
      <c r="D17" s="61">
        <v>244</v>
      </c>
      <c r="E17" s="60">
        <v>2543</v>
      </c>
      <c r="F17" s="60">
        <v>87204</v>
      </c>
      <c r="G17" s="60">
        <v>253</v>
      </c>
      <c r="H17" s="60">
        <v>748</v>
      </c>
      <c r="I17" s="60"/>
      <c r="J17" s="6">
        <f t="shared" si="5"/>
        <v>60</v>
      </c>
      <c r="K17" s="75">
        <f t="shared" si="9"/>
        <v>2.3127304436840659E-3</v>
      </c>
      <c r="L17" s="75">
        <f t="shared" si="0"/>
        <v>1.1497177537153789E-2</v>
      </c>
      <c r="M17" s="76">
        <f t="shared" si="6"/>
        <v>3373.934720420109</v>
      </c>
      <c r="N17" s="76">
        <f t="shared" si="1"/>
        <v>38.790726479437325</v>
      </c>
      <c r="O17" s="6">
        <f t="shared" si="7"/>
        <v>60</v>
      </c>
      <c r="P17" s="75">
        <f t="shared" si="2"/>
        <v>2.9012430622448512E-3</v>
      </c>
      <c r="Q17" s="75">
        <f t="shared" si="3"/>
        <v>1.4401757811388204E-2</v>
      </c>
      <c r="R17" s="76">
        <f t="shared" si="8"/>
        <v>3104.4494100572456</v>
      </c>
      <c r="S17" s="76">
        <f t="shared" si="4"/>
        <v>44.709528541351439</v>
      </c>
    </row>
    <row r="18" spans="1:19" x14ac:dyDescent="0.3">
      <c r="A18" s="24" t="s">
        <v>90</v>
      </c>
      <c r="B18" s="24" t="s">
        <v>59</v>
      </c>
      <c r="C18" s="60">
        <v>106286</v>
      </c>
      <c r="D18" s="61">
        <v>244</v>
      </c>
      <c r="E18" s="60">
        <v>3626</v>
      </c>
      <c r="F18" s="60">
        <v>93411</v>
      </c>
      <c r="G18" s="60">
        <v>133</v>
      </c>
      <c r="H18" s="60">
        <v>1127</v>
      </c>
      <c r="I18" s="60"/>
      <c r="J18" s="6">
        <f t="shared" si="5"/>
        <v>65</v>
      </c>
      <c r="K18" s="75">
        <f t="shared" si="9"/>
        <v>2.2956927535141033E-3</v>
      </c>
      <c r="L18" s="75">
        <f t="shared" si="0"/>
        <v>1.1412962131417452E-2</v>
      </c>
      <c r="M18" s="76">
        <f t="shared" si="6"/>
        <v>3335.1439939406719</v>
      </c>
      <c r="N18" s="76">
        <f t="shared" si="1"/>
        <v>38.063872105669248</v>
      </c>
      <c r="O18" s="6">
        <f t="shared" si="7"/>
        <v>65</v>
      </c>
      <c r="P18" s="75">
        <f t="shared" si="2"/>
        <v>1.4238151823661024E-3</v>
      </c>
      <c r="Q18" s="75">
        <f t="shared" si="3"/>
        <v>7.0938251718785832E-3</v>
      </c>
      <c r="R18" s="76">
        <f t="shared" si="8"/>
        <v>3059.739881515894</v>
      </c>
      <c r="S18" s="76">
        <f t="shared" si="4"/>
        <v>21.705259790898243</v>
      </c>
    </row>
    <row r="19" spans="1:19" ht="14.5" x14ac:dyDescent="0.35">
      <c r="A19" s="39" t="s">
        <v>122</v>
      </c>
      <c r="B19" s="39" t="s">
        <v>121</v>
      </c>
      <c r="C19" s="61">
        <v>215782</v>
      </c>
      <c r="D19" s="61">
        <v>227</v>
      </c>
      <c r="E19" s="61">
        <v>14558</v>
      </c>
      <c r="F19" s="61">
        <v>334282</v>
      </c>
      <c r="G19" s="60">
        <v>143</v>
      </c>
      <c r="H19" s="60">
        <v>18016</v>
      </c>
      <c r="I19" s="60"/>
      <c r="J19" s="72">
        <f t="shared" si="5"/>
        <v>70</v>
      </c>
      <c r="K19" s="70"/>
      <c r="L19" s="70"/>
      <c r="M19" s="77">
        <f t="shared" si="6"/>
        <v>3297.0801218350025</v>
      </c>
      <c r="N19" s="70"/>
      <c r="O19" s="72">
        <f t="shared" si="7"/>
        <v>70</v>
      </c>
      <c r="P19" s="70"/>
      <c r="Q19" s="70"/>
      <c r="R19" s="77">
        <f t="shared" si="8"/>
        <v>3038.0346217249958</v>
      </c>
      <c r="S19" s="70"/>
    </row>
    <row r="20" spans="1:19" x14ac:dyDescent="0.3">
      <c r="A20" s="182" t="s">
        <v>10</v>
      </c>
      <c r="B20" s="182"/>
      <c r="C20" s="62">
        <f t="shared" ref="C20:H20" si="10">SUM(C7:C19)</f>
        <v>10979677</v>
      </c>
      <c r="D20" s="62">
        <f t="shared" si="10"/>
        <v>237081</v>
      </c>
      <c r="E20" s="62">
        <f t="shared" si="10"/>
        <v>40308</v>
      </c>
      <c r="F20" s="62">
        <f t="shared" si="10"/>
        <v>9832473</v>
      </c>
      <c r="G20" s="62">
        <f t="shared" si="10"/>
        <v>240163</v>
      </c>
      <c r="H20" s="62">
        <f t="shared" si="10"/>
        <v>26383</v>
      </c>
      <c r="I20" s="79"/>
      <c r="L20" s="55" t="s">
        <v>131</v>
      </c>
      <c r="M20" s="1">
        <f>M15/M8</f>
        <v>0.36092812236220423</v>
      </c>
      <c r="N20" s="65">
        <f>SUM(N8:N19)</f>
        <v>6702.9198781649975</v>
      </c>
      <c r="Q20" s="55" t="s">
        <v>131</v>
      </c>
      <c r="R20" s="1">
        <f>R15/R8</f>
        <v>0.32824558798280823</v>
      </c>
      <c r="S20" s="65">
        <f>SUM(S8:S18)</f>
        <v>6961.9653782750056</v>
      </c>
    </row>
    <row r="21" spans="1:19" x14ac:dyDescent="0.3">
      <c r="L21" s="55" t="s">
        <v>145</v>
      </c>
      <c r="M21" s="1">
        <f>2.5+(SUMPRODUCT(J8:J14,N8:N14)/SUM(N8:N14))</f>
        <v>31.133126596856435</v>
      </c>
      <c r="Q21" s="55" t="s">
        <v>145</v>
      </c>
      <c r="R21" s="1">
        <f>2.5+(SUMPRODUCT(O8:O14,S8:S14)/SUM(S8:S14))</f>
        <v>29.176897587489847</v>
      </c>
    </row>
    <row r="22" spans="1:19" x14ac:dyDescent="0.3">
      <c r="C22" s="29"/>
      <c r="D22" s="29"/>
      <c r="E22" s="29"/>
      <c r="F22" s="29"/>
      <c r="G22" s="29"/>
      <c r="H22" s="29"/>
      <c r="I22" s="29"/>
      <c r="N22" s="65"/>
    </row>
    <row r="23" spans="1:19" x14ac:dyDescent="0.3">
      <c r="N23" s="1" t="s">
        <v>148</v>
      </c>
    </row>
    <row r="24" spans="1:19" x14ac:dyDescent="0.3">
      <c r="B24" s="55" t="s">
        <v>185</v>
      </c>
      <c r="C24" s="1" t="s">
        <v>186</v>
      </c>
      <c r="O24" s="1" t="s">
        <v>146</v>
      </c>
      <c r="P24" s="66">
        <f>1-M19/M15</f>
        <v>8.6499522326978662E-2</v>
      </c>
    </row>
    <row r="25" spans="1:19" x14ac:dyDescent="0.3">
      <c r="B25" s="55" t="s">
        <v>175</v>
      </c>
      <c r="C25" s="1" t="s">
        <v>176</v>
      </c>
      <c r="O25" s="1" t="s">
        <v>147</v>
      </c>
      <c r="P25" s="66">
        <f>1-R19/R15</f>
        <v>7.4462922595592618E-2</v>
      </c>
    </row>
    <row r="26" spans="1:19" x14ac:dyDescent="0.3">
      <c r="B26" s="55" t="s">
        <v>179</v>
      </c>
      <c r="C26" s="1" t="s">
        <v>180</v>
      </c>
    </row>
    <row r="27" spans="1:19" x14ac:dyDescent="0.3">
      <c r="B27" s="55" t="s">
        <v>181</v>
      </c>
      <c r="C27" s="1" t="s">
        <v>182</v>
      </c>
    </row>
    <row r="30" spans="1:19" x14ac:dyDescent="0.3">
      <c r="B30" s="55"/>
    </row>
  </sheetData>
  <mergeCells count="3">
    <mergeCell ref="A20:B20"/>
    <mergeCell ref="K6:N6"/>
    <mergeCell ref="P6:S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AO33"/>
  <sheetViews>
    <sheetView zoomScale="205" zoomScaleNormal="205" workbookViewId="0">
      <selection activeCell="A9" sqref="A9"/>
    </sheetView>
  </sheetViews>
  <sheetFormatPr baseColWidth="10" defaultColWidth="10.81640625" defaultRowHeight="13" x14ac:dyDescent="0.3"/>
  <cols>
    <col min="1" max="1" width="11.453125" style="80" customWidth="1"/>
    <col min="2" max="2" width="13.26953125" style="80" customWidth="1"/>
    <col min="3" max="3" width="10.54296875" style="80" customWidth="1"/>
    <col min="4" max="4" width="8.26953125" style="80" customWidth="1"/>
    <col min="5" max="5" width="7.7265625" style="80" customWidth="1"/>
    <col min="6" max="6" width="10.81640625" style="80"/>
    <col min="7" max="7" width="8.54296875" style="80" customWidth="1"/>
    <col min="8" max="8" width="7.36328125" style="80" customWidth="1"/>
    <col min="9" max="9" width="6.1796875" style="80" customWidth="1"/>
    <col min="10" max="10" width="7.26953125" style="80" customWidth="1"/>
    <col min="11" max="11" width="10.54296875" style="80" customWidth="1"/>
    <col min="12" max="14" width="9.36328125" style="80" customWidth="1"/>
    <col min="15" max="17" width="7.81640625" style="80" customWidth="1"/>
    <col min="18" max="18" width="7.36328125" style="80" customWidth="1"/>
    <col min="19" max="19" width="7.7265625" style="80" customWidth="1"/>
    <col min="20" max="23" width="8.54296875" style="80" customWidth="1"/>
    <col min="24" max="25" width="6.90625" style="80" customWidth="1"/>
    <col min="26" max="26" width="5" style="80" customWidth="1"/>
    <col min="27" max="27" width="8.54296875" style="80" customWidth="1"/>
    <col min="28" max="40" width="7.26953125" style="80" customWidth="1"/>
    <col min="41" max="16384" width="10.81640625" style="80"/>
  </cols>
  <sheetData>
    <row r="1" spans="1:41" x14ac:dyDescent="0.3">
      <c r="F1" s="80" t="s">
        <v>166</v>
      </c>
    </row>
    <row r="2" spans="1:41" ht="15" x14ac:dyDescent="0.4">
      <c r="F2" s="80" t="s">
        <v>236</v>
      </c>
    </row>
    <row r="3" spans="1:41" x14ac:dyDescent="0.3">
      <c r="A3" s="81"/>
      <c r="B3" s="81"/>
      <c r="C3" s="81"/>
      <c r="D3" s="81"/>
      <c r="E3" s="81"/>
      <c r="F3" s="81"/>
      <c r="G3" s="81"/>
      <c r="H3" s="81"/>
      <c r="I3" s="81"/>
    </row>
    <row r="4" spans="1:41" x14ac:dyDescent="0.3">
      <c r="A4" s="82" t="s">
        <v>0</v>
      </c>
      <c r="B4" s="82" t="s">
        <v>1</v>
      </c>
      <c r="C4" s="83"/>
      <c r="D4" s="171" t="s">
        <v>3</v>
      </c>
      <c r="E4" s="85"/>
      <c r="F4" s="83"/>
      <c r="G4" s="171" t="s">
        <v>4</v>
      </c>
      <c r="H4" s="85"/>
      <c r="I4" s="81"/>
      <c r="J4" s="80" t="s">
        <v>170</v>
      </c>
    </row>
    <row r="5" spans="1:41" x14ac:dyDescent="0.3">
      <c r="A5" s="86" t="s">
        <v>5</v>
      </c>
      <c r="B5" s="86" t="s">
        <v>67</v>
      </c>
      <c r="C5" s="82"/>
      <c r="D5" s="82"/>
      <c r="E5" s="82"/>
      <c r="F5" s="82"/>
      <c r="G5" s="82"/>
      <c r="H5" s="82"/>
      <c r="I5" s="87"/>
    </row>
    <row r="6" spans="1:41" x14ac:dyDescent="0.3">
      <c r="A6" s="88" t="s">
        <v>8</v>
      </c>
      <c r="B6" s="88" t="s">
        <v>41</v>
      </c>
      <c r="C6" s="88" t="s">
        <v>44</v>
      </c>
      <c r="D6" s="88" t="s">
        <v>139</v>
      </c>
      <c r="E6" s="88" t="s">
        <v>140</v>
      </c>
      <c r="F6" s="88" t="s">
        <v>44</v>
      </c>
      <c r="G6" s="88" t="s">
        <v>139</v>
      </c>
      <c r="H6" s="88" t="s">
        <v>140</v>
      </c>
      <c r="I6" s="86"/>
      <c r="J6" s="89" t="s">
        <v>1</v>
      </c>
      <c r="K6" s="90"/>
      <c r="L6" s="83" t="s">
        <v>3</v>
      </c>
      <c r="M6" s="84"/>
      <c r="N6" s="84"/>
      <c r="O6" s="84"/>
      <c r="P6" s="85"/>
      <c r="Q6" s="85"/>
      <c r="R6" s="89" t="s">
        <v>1</v>
      </c>
      <c r="S6" s="90"/>
      <c r="T6" s="83" t="s">
        <v>4</v>
      </c>
      <c r="U6" s="84"/>
      <c r="V6" s="84"/>
      <c r="W6" s="84"/>
      <c r="X6" s="85"/>
      <c r="Y6" s="85"/>
      <c r="AA6" s="83" t="s">
        <v>3</v>
      </c>
      <c r="AB6" s="84"/>
      <c r="AC6" s="84"/>
      <c r="AD6" s="84"/>
      <c r="AE6" s="84"/>
      <c r="AF6" s="84"/>
      <c r="AG6" s="143"/>
      <c r="AH6" s="83" t="s">
        <v>4</v>
      </c>
      <c r="AI6" s="84"/>
      <c r="AJ6" s="84"/>
      <c r="AK6" s="84"/>
      <c r="AL6" s="84"/>
      <c r="AM6" s="84"/>
      <c r="AN6" s="143"/>
    </row>
    <row r="7" spans="1:41" ht="15" x14ac:dyDescent="0.4">
      <c r="A7" s="91" t="s">
        <v>79</v>
      </c>
      <c r="B7" s="91" t="s">
        <v>48</v>
      </c>
      <c r="C7" s="92">
        <v>1952300</v>
      </c>
      <c r="D7" s="93">
        <v>0</v>
      </c>
      <c r="E7" s="92">
        <v>362</v>
      </c>
      <c r="F7" s="92">
        <v>1863417</v>
      </c>
      <c r="G7" s="92">
        <v>16</v>
      </c>
      <c r="H7" s="92">
        <v>235</v>
      </c>
      <c r="I7" s="92"/>
      <c r="J7" s="94" t="s">
        <v>149</v>
      </c>
      <c r="K7" s="94" t="s">
        <v>165</v>
      </c>
      <c r="L7" s="95" t="s">
        <v>230</v>
      </c>
      <c r="M7" s="95" t="s">
        <v>228</v>
      </c>
      <c r="N7" s="95" t="s">
        <v>229</v>
      </c>
      <c r="O7" s="95" t="s">
        <v>143</v>
      </c>
      <c r="P7" s="95" t="s">
        <v>216</v>
      </c>
      <c r="Q7" s="95" t="s">
        <v>215</v>
      </c>
      <c r="R7" s="94" t="s">
        <v>149</v>
      </c>
      <c r="S7" s="94" t="s">
        <v>165</v>
      </c>
      <c r="T7" s="95" t="s">
        <v>230</v>
      </c>
      <c r="U7" s="95" t="s">
        <v>228</v>
      </c>
      <c r="V7" s="95" t="s">
        <v>229</v>
      </c>
      <c r="W7" s="95" t="s">
        <v>143</v>
      </c>
      <c r="X7" s="95" t="s">
        <v>216</v>
      </c>
      <c r="Y7" s="95" t="s">
        <v>215</v>
      </c>
      <c r="AA7" s="95" t="s">
        <v>238</v>
      </c>
      <c r="AB7" s="172" t="s">
        <v>239</v>
      </c>
      <c r="AC7" s="95" t="s">
        <v>228</v>
      </c>
      <c r="AD7" s="95" t="s">
        <v>229</v>
      </c>
      <c r="AE7" s="95" t="s">
        <v>143</v>
      </c>
      <c r="AF7" s="95" t="s">
        <v>216</v>
      </c>
      <c r="AG7" s="95" t="s">
        <v>215</v>
      </c>
      <c r="AH7" s="95" t="s">
        <v>238</v>
      </c>
      <c r="AI7" s="172" t="s">
        <v>239</v>
      </c>
      <c r="AJ7" s="95" t="s">
        <v>228</v>
      </c>
      <c r="AK7" s="95" t="s">
        <v>229</v>
      </c>
      <c r="AL7" s="95" t="s">
        <v>143</v>
      </c>
      <c r="AM7" s="95" t="s">
        <v>216</v>
      </c>
      <c r="AN7" s="95" t="s">
        <v>215</v>
      </c>
    </row>
    <row r="8" spans="1:41" x14ac:dyDescent="0.3">
      <c r="A8" s="91" t="s">
        <v>80</v>
      </c>
      <c r="B8" s="91" t="s">
        <v>49</v>
      </c>
      <c r="C8" s="92">
        <v>1977914</v>
      </c>
      <c r="D8" s="93">
        <v>992</v>
      </c>
      <c r="E8" s="92">
        <v>1420</v>
      </c>
      <c r="F8" s="92">
        <v>1891835</v>
      </c>
      <c r="G8" s="92">
        <v>6236</v>
      </c>
      <c r="H8" s="92">
        <v>547</v>
      </c>
      <c r="I8" s="92"/>
      <c r="J8" s="89">
        <v>15</v>
      </c>
      <c r="K8" s="128">
        <f>(D8+E8)/C8</f>
        <v>1.2194665693250565E-3</v>
      </c>
      <c r="L8" s="96">
        <f>(2*5*K8)/(2+5*K8)</f>
        <v>6.0788006113075763E-3</v>
      </c>
      <c r="M8" s="96">
        <f>L8*(D8/(D8+E8))</f>
        <v>2.5000705665079253E-3</v>
      </c>
      <c r="N8" s="96">
        <f t="shared" ref="N8:N18" si="0">L8*(E8/(D8+E8))</f>
        <v>3.578730044799651E-3</v>
      </c>
      <c r="O8" s="97">
        <v>10000</v>
      </c>
      <c r="P8" s="98">
        <f t="shared" ref="P8:P18" si="1">O8*M8</f>
        <v>25.000705665079252</v>
      </c>
      <c r="Q8" s="98">
        <f t="shared" ref="Q8:Q18" si="2">O8*N8</f>
        <v>35.787300447996508</v>
      </c>
      <c r="R8" s="89">
        <v>15</v>
      </c>
      <c r="S8" s="132">
        <f t="shared" ref="S8:S19" si="3">(G8+H8)/F8</f>
        <v>3.5854078183351085E-3</v>
      </c>
      <c r="T8" s="96">
        <f t="shared" ref="T8:T18" si="4">(2*5*S8)/(2+5*S8)</f>
        <v>1.7767777272804666E-2</v>
      </c>
      <c r="U8" s="96">
        <f t="shared" ref="U8:U18" si="5">T8*(G8/(G8+H8))</f>
        <v>1.6334934258176309E-2</v>
      </c>
      <c r="V8" s="96">
        <f t="shared" ref="V8:V18" si="6">T8*(H8/(G8+H8))</f>
        <v>1.4328430146283578E-3</v>
      </c>
      <c r="W8" s="97">
        <v>10000</v>
      </c>
      <c r="X8" s="98">
        <f t="shared" ref="X8:X18" si="7">W8*U8</f>
        <v>163.3493425817631</v>
      </c>
      <c r="Y8" s="98">
        <f t="shared" ref="Y8:Y18" si="8">W8*V8</f>
        <v>14.328430146283578</v>
      </c>
      <c r="AA8" s="165">
        <f>D8/C8</f>
        <v>5.0153848953999008E-4</v>
      </c>
      <c r="AB8" s="165">
        <f>E8/C8</f>
        <v>7.1792807978506652E-4</v>
      </c>
      <c r="AC8" s="173">
        <f>2*5*AA8/(2+5*(AB8+AA8))</f>
        <v>2.5000705665079257E-3</v>
      </c>
      <c r="AD8" s="173">
        <f>2*5*AB8/(2+5*(AB8+AA8))</f>
        <v>3.5787300447996519E-3</v>
      </c>
      <c r="AE8" s="97">
        <v>10000</v>
      </c>
      <c r="AF8" s="98">
        <f>AE8*AC8</f>
        <v>25.000705665079256</v>
      </c>
      <c r="AG8" s="98">
        <f>AE8*AD8</f>
        <v>35.787300447996522</v>
      </c>
      <c r="AH8" s="165">
        <f>G8/F8</f>
        <v>3.2962705521358891E-3</v>
      </c>
      <c r="AI8" s="165">
        <f>H8/F8</f>
        <v>2.8913726619921926E-4</v>
      </c>
      <c r="AJ8" s="173">
        <f>2*5*AH8/(2+5*(AI8+AH8))</f>
        <v>1.6334934258176306E-2</v>
      </c>
      <c r="AK8" s="173">
        <f>2*5*AI8/(2+5*(AI8+AH8))</f>
        <v>1.4328430146283578E-3</v>
      </c>
      <c r="AL8" s="97">
        <v>10000</v>
      </c>
      <c r="AM8" s="98">
        <f>AL8*AJ8</f>
        <v>163.34934258176307</v>
      </c>
      <c r="AN8" s="98">
        <f>AL8*AK8</f>
        <v>14.328430146283578</v>
      </c>
      <c r="AO8" s="109"/>
    </row>
    <row r="9" spans="1:41" x14ac:dyDescent="0.3">
      <c r="A9" s="91" t="s">
        <v>81</v>
      </c>
      <c r="B9" s="91" t="s">
        <v>50</v>
      </c>
      <c r="C9" s="92">
        <v>1914972</v>
      </c>
      <c r="D9" s="93">
        <v>29152</v>
      </c>
      <c r="E9" s="92">
        <v>1935</v>
      </c>
      <c r="F9" s="92">
        <v>1785031</v>
      </c>
      <c r="G9" s="92">
        <v>61484</v>
      </c>
      <c r="H9" s="92">
        <v>605</v>
      </c>
      <c r="I9" s="92"/>
      <c r="J9" s="99">
        <f t="shared" ref="J9:J19" si="9">J8+5</f>
        <v>20</v>
      </c>
      <c r="K9" s="129">
        <f>(D9+E9)/C9</f>
        <v>1.6233657724499365E-2</v>
      </c>
      <c r="L9" s="100">
        <f t="shared" ref="L9:L18" si="10">(2*5*K9)/(2+5*K9)</f>
        <v>7.8002619073367918E-2</v>
      </c>
      <c r="M9" s="100">
        <f t="shared" ref="M9:M18" si="11">L9*(D9/(D9+E9))</f>
        <v>7.3147371931251703E-2</v>
      </c>
      <c r="N9" s="100">
        <f t="shared" si="0"/>
        <v>4.8552471421162199E-3</v>
      </c>
      <c r="O9" s="101">
        <f t="shared" ref="O9:O19" si="12">O8-P8-Q8</f>
        <v>9939.2119938869237</v>
      </c>
      <c r="P9" s="101">
        <f t="shared" si="1"/>
        <v>727.02723642040462</v>
      </c>
      <c r="Q9" s="101">
        <f t="shared" si="2"/>
        <v>48.257330628206745</v>
      </c>
      <c r="R9" s="99">
        <f t="shared" ref="R9:R19" si="13">R8+5</f>
        <v>20</v>
      </c>
      <c r="S9" s="133">
        <f t="shared" si="3"/>
        <v>3.4783149424295716E-2</v>
      </c>
      <c r="T9" s="100">
        <f t="shared" si="4"/>
        <v>0.16000228836077351</v>
      </c>
      <c r="U9" s="100">
        <f t="shared" si="5"/>
        <v>0.15844321373470019</v>
      </c>
      <c r="V9" s="100">
        <f t="shared" si="6"/>
        <v>1.5590746260733461E-3</v>
      </c>
      <c r="W9" s="101">
        <f t="shared" ref="W9:W19" si="14">W8-X8-Y8</f>
        <v>9822.322227271954</v>
      </c>
      <c r="X9" s="101">
        <f t="shared" si="7"/>
        <v>1556.2803000267465</v>
      </c>
      <c r="Y9" s="101">
        <f t="shared" si="8"/>
        <v>15.313733353655937</v>
      </c>
      <c r="AA9" s="147">
        <f>D9/C9</f>
        <v>1.5223199085939637E-2</v>
      </c>
      <c r="AB9" s="147">
        <f>E9/C9</f>
        <v>1.0104586385597282E-3</v>
      </c>
      <c r="AC9" s="174">
        <f t="shared" ref="AC9:AC19" si="15">2*5*AA9/(2+5*(AB9+AA9))</f>
        <v>7.3147371931251703E-2</v>
      </c>
      <c r="AD9" s="174">
        <f t="shared" ref="AD9:AD19" si="16">2*5*AB9/(2+5*(AB9+AA9))</f>
        <v>4.8552471421162199E-3</v>
      </c>
      <c r="AE9" s="101">
        <f>AE8-AF8-AG8</f>
        <v>9939.2119938869237</v>
      </c>
      <c r="AF9" s="101">
        <f t="shared" ref="AF9:AF19" si="17">AE9*AC9</f>
        <v>727.02723642040462</v>
      </c>
      <c r="AG9" s="101">
        <f t="shared" ref="AG9:AG19" si="18">AE9*AD9</f>
        <v>48.257330628206745</v>
      </c>
      <c r="AH9" s="147">
        <f>G9/F9</f>
        <v>3.4444219736239873E-2</v>
      </c>
      <c r="AI9" s="147">
        <f>H9/F9</f>
        <v>3.3892968805583769E-4</v>
      </c>
      <c r="AJ9" s="174">
        <f t="shared" ref="AJ9:AJ19" si="19">2*5*AH9/(2+5*(AI9+AH9))</f>
        <v>0.15844321373470013</v>
      </c>
      <c r="AK9" s="174">
        <f t="shared" ref="AK9:AK19" si="20">2*5*AI9/(2+5*(AI9+AH9))</f>
        <v>1.5590746260733456E-3</v>
      </c>
      <c r="AL9" s="101">
        <f>AL8-AM8-AN8</f>
        <v>9822.322227271954</v>
      </c>
      <c r="AM9" s="101">
        <f t="shared" ref="AM9:AM19" si="21">AL9*AJ9</f>
        <v>1556.2803000267461</v>
      </c>
      <c r="AN9" s="101">
        <f t="shared" ref="AN9:AN19" si="22">AL9*AK9</f>
        <v>15.313733353655934</v>
      </c>
      <c r="AO9" s="109"/>
    </row>
    <row r="10" spans="1:41" x14ac:dyDescent="0.3">
      <c r="A10" s="91" t="s">
        <v>82</v>
      </c>
      <c r="B10" s="91" t="s">
        <v>51</v>
      </c>
      <c r="C10" s="92">
        <v>1561244</v>
      </c>
      <c r="D10" s="93">
        <v>100552</v>
      </c>
      <c r="E10" s="92">
        <v>1873</v>
      </c>
      <c r="F10" s="92">
        <v>1283917</v>
      </c>
      <c r="G10" s="92">
        <v>98530</v>
      </c>
      <c r="H10" s="92">
        <v>563</v>
      </c>
      <c r="I10" s="92"/>
      <c r="J10" s="99">
        <f t="shared" si="9"/>
        <v>25</v>
      </c>
      <c r="K10" s="129">
        <f t="shared" ref="K10:K19" si="23">(D10+E10)/C10</f>
        <v>6.5604735710753731E-2</v>
      </c>
      <c r="L10" s="100">
        <f t="shared" si="10"/>
        <v>0.28180441769178727</v>
      </c>
      <c r="M10" s="100">
        <f t="shared" si="11"/>
        <v>0.27665118679760403</v>
      </c>
      <c r="N10" s="100">
        <f t="shared" si="0"/>
        <v>5.1532308941832326E-3</v>
      </c>
      <c r="O10" s="101">
        <f t="shared" si="12"/>
        <v>9163.9274268383124</v>
      </c>
      <c r="P10" s="101">
        <f t="shared" si="1"/>
        <v>2535.2113983619329</v>
      </c>
      <c r="Q10" s="101">
        <f t="shared" si="2"/>
        <v>47.22383392803625</v>
      </c>
      <c r="R10" s="99">
        <f t="shared" si="13"/>
        <v>25</v>
      </c>
      <c r="S10" s="133">
        <f t="shared" si="3"/>
        <v>7.7180222709100355E-2</v>
      </c>
      <c r="T10" s="100">
        <f t="shared" si="4"/>
        <v>0.3234845831242722</v>
      </c>
      <c r="U10" s="100">
        <f t="shared" si="5"/>
        <v>0.32164669527852158</v>
      </c>
      <c r="V10" s="100">
        <f t="shared" si="6"/>
        <v>1.8378878457506105E-3</v>
      </c>
      <c r="W10" s="101">
        <f t="shared" si="14"/>
        <v>8250.7281938915512</v>
      </c>
      <c r="X10" s="101">
        <f t="shared" si="7"/>
        <v>2653.8194572065427</v>
      </c>
      <c r="Y10" s="101">
        <f t="shared" si="8"/>
        <v>15.163913066145168</v>
      </c>
      <c r="AA10" s="147">
        <f>D10/C10</f>
        <v>6.440505135648239E-2</v>
      </c>
      <c r="AB10" s="147">
        <f>E10/C10</f>
        <v>1.1996843542713374E-3</v>
      </c>
      <c r="AC10" s="174">
        <f t="shared" si="15"/>
        <v>0.27665118679760403</v>
      </c>
      <c r="AD10" s="174">
        <f t="shared" si="16"/>
        <v>5.1532308941832318E-3</v>
      </c>
      <c r="AE10" s="101">
        <f t="shared" ref="AE10:AE19" si="24">AE9-AF9-AG9</f>
        <v>9163.9274268383124</v>
      </c>
      <c r="AF10" s="101">
        <f t="shared" si="17"/>
        <v>2535.2113983619329</v>
      </c>
      <c r="AG10" s="101">
        <f t="shared" si="18"/>
        <v>47.223833928036235</v>
      </c>
      <c r="AH10" s="147">
        <f>G10/F10</f>
        <v>7.6741720843325548E-2</v>
      </c>
      <c r="AI10" s="147">
        <f>H10/F10</f>
        <v>4.3850186577481257E-4</v>
      </c>
      <c r="AJ10" s="174">
        <f t="shared" si="19"/>
        <v>0.32164669527852163</v>
      </c>
      <c r="AK10" s="174">
        <f t="shared" si="20"/>
        <v>1.8378878457506109E-3</v>
      </c>
      <c r="AL10" s="101">
        <f t="shared" ref="AL10:AL19" si="25">AL9-AM9-AN9</f>
        <v>8250.7281938915512</v>
      </c>
      <c r="AM10" s="101">
        <f t="shared" si="21"/>
        <v>2653.8194572065431</v>
      </c>
      <c r="AN10" s="101">
        <f t="shared" si="22"/>
        <v>15.163913066145172</v>
      </c>
      <c r="AO10" s="109"/>
    </row>
    <row r="11" spans="1:41" x14ac:dyDescent="0.3">
      <c r="A11" s="91" t="s">
        <v>83</v>
      </c>
      <c r="B11" s="91" t="s">
        <v>52</v>
      </c>
      <c r="C11" s="92">
        <v>1102304</v>
      </c>
      <c r="D11" s="93">
        <v>60845</v>
      </c>
      <c r="E11" s="92">
        <v>1836</v>
      </c>
      <c r="F11" s="92">
        <v>881384</v>
      </c>
      <c r="G11" s="92">
        <v>42914</v>
      </c>
      <c r="H11" s="92">
        <v>599</v>
      </c>
      <c r="I11" s="92"/>
      <c r="J11" s="99">
        <f t="shared" si="9"/>
        <v>30</v>
      </c>
      <c r="K11" s="129">
        <f t="shared" si="23"/>
        <v>5.6863623827909542E-2</v>
      </c>
      <c r="L11" s="100">
        <f t="shared" si="10"/>
        <v>0.24893040663411981</v>
      </c>
      <c r="M11" s="100">
        <f t="shared" si="11"/>
        <v>0.24163894308726758</v>
      </c>
      <c r="N11" s="100">
        <f t="shared" si="0"/>
        <v>7.2914635468522195E-3</v>
      </c>
      <c r="O11" s="101">
        <f t="shared" si="12"/>
        <v>6581.4921945483429</v>
      </c>
      <c r="P11" s="101">
        <f t="shared" si="1"/>
        <v>1590.3448178277629</v>
      </c>
      <c r="Q11" s="101">
        <f t="shared" si="2"/>
        <v>47.988710420441656</v>
      </c>
      <c r="R11" s="99">
        <f t="shared" si="13"/>
        <v>30</v>
      </c>
      <c r="S11" s="133">
        <f t="shared" si="3"/>
        <v>4.936894701968722E-2</v>
      </c>
      <c r="T11" s="100">
        <f t="shared" si="4"/>
        <v>0.21972567239954088</v>
      </c>
      <c r="U11" s="100">
        <f t="shared" si="5"/>
        <v>0.21670092858120327</v>
      </c>
      <c r="V11" s="100">
        <f t="shared" si="6"/>
        <v>3.0247438183376232E-3</v>
      </c>
      <c r="W11" s="101">
        <f t="shared" si="14"/>
        <v>5581.7448236188638</v>
      </c>
      <c r="X11" s="101">
        <f t="shared" si="7"/>
        <v>1209.5692863815325</v>
      </c>
      <c r="Y11" s="101">
        <f t="shared" si="8"/>
        <v>16.883348150779184</v>
      </c>
      <c r="AA11" s="147">
        <f>D11/C11</f>
        <v>5.519802159839754E-2</v>
      </c>
      <c r="AB11" s="147">
        <f>E11/C11</f>
        <v>1.665602229512004E-3</v>
      </c>
      <c r="AC11" s="174">
        <f t="shared" si="15"/>
        <v>0.2416389430872676</v>
      </c>
      <c r="AD11" s="174">
        <f t="shared" si="16"/>
        <v>7.2914635468522195E-3</v>
      </c>
      <c r="AE11" s="101">
        <f t="shared" si="24"/>
        <v>6581.4921945483429</v>
      </c>
      <c r="AF11" s="101">
        <f t="shared" si="17"/>
        <v>1590.3448178277631</v>
      </c>
      <c r="AG11" s="101">
        <f t="shared" si="18"/>
        <v>47.988710420441656</v>
      </c>
      <c r="AH11" s="147">
        <f>G11/F11</f>
        <v>4.8689334047361879E-2</v>
      </c>
      <c r="AI11" s="147">
        <f>H11/F11</f>
        <v>6.7961297232534286E-4</v>
      </c>
      <c r="AJ11" s="174">
        <f t="shared" si="19"/>
        <v>0.21670092858120327</v>
      </c>
      <c r="AK11" s="174">
        <f t="shared" si="20"/>
        <v>3.0247438183376232E-3</v>
      </c>
      <c r="AL11" s="101">
        <f t="shared" si="25"/>
        <v>5581.7448236188629</v>
      </c>
      <c r="AM11" s="101">
        <f t="shared" si="21"/>
        <v>1209.5692863815323</v>
      </c>
      <c r="AN11" s="101">
        <f t="shared" si="22"/>
        <v>16.883348150779184</v>
      </c>
      <c r="AO11" s="109"/>
    </row>
    <row r="12" spans="1:41" x14ac:dyDescent="0.3">
      <c r="A12" s="91" t="s">
        <v>84</v>
      </c>
      <c r="B12" s="91" t="s">
        <v>53</v>
      </c>
      <c r="C12" s="92">
        <v>786356</v>
      </c>
      <c r="D12" s="93">
        <v>26549</v>
      </c>
      <c r="E12" s="92">
        <v>2238</v>
      </c>
      <c r="F12" s="92">
        <v>624155</v>
      </c>
      <c r="G12" s="92">
        <v>18195</v>
      </c>
      <c r="H12" s="92">
        <v>771</v>
      </c>
      <c r="I12" s="92"/>
      <c r="J12" s="99">
        <f t="shared" si="9"/>
        <v>35</v>
      </c>
      <c r="K12" s="129">
        <f t="shared" si="23"/>
        <v>3.6608101165375481E-2</v>
      </c>
      <c r="L12" s="100">
        <f t="shared" si="10"/>
        <v>0.16769318328112887</v>
      </c>
      <c r="M12" s="100">
        <f t="shared" si="11"/>
        <v>0.15465614072083544</v>
      </c>
      <c r="N12" s="100">
        <f t="shared" si="0"/>
        <v>1.3037042560293411E-2</v>
      </c>
      <c r="O12" s="101">
        <f t="shared" si="12"/>
        <v>4943.1586663001381</v>
      </c>
      <c r="P12" s="101">
        <f t="shared" si="1"/>
        <v>764.48984230073142</v>
      </c>
      <c r="Q12" s="101">
        <f t="shared" si="2"/>
        <v>64.444169914838113</v>
      </c>
      <c r="R12" s="99">
        <f t="shared" si="13"/>
        <v>35</v>
      </c>
      <c r="S12" s="133">
        <f t="shared" si="3"/>
        <v>3.0386682795139029E-2</v>
      </c>
      <c r="T12" s="100">
        <f t="shared" si="4"/>
        <v>0.14120642673139064</v>
      </c>
      <c r="U12" s="100">
        <f t="shared" si="5"/>
        <v>0.13546614649254732</v>
      </c>
      <c r="V12" s="100">
        <f t="shared" si="6"/>
        <v>5.7402802388433084E-3</v>
      </c>
      <c r="W12" s="101">
        <f t="shared" si="14"/>
        <v>4355.2921890865528</v>
      </c>
      <c r="X12" s="101">
        <f t="shared" si="7"/>
        <v>589.99464970464601</v>
      </c>
      <c r="Y12" s="101">
        <f t="shared" si="8"/>
        <v>25.000597687402152</v>
      </c>
      <c r="AA12" s="147">
        <f>D12/C12</f>
        <v>3.3762061966844531E-2</v>
      </c>
      <c r="AB12" s="147">
        <f>E12/C12</f>
        <v>2.8460391985309455E-3</v>
      </c>
      <c r="AC12" s="174">
        <f t="shared" si="15"/>
        <v>0.15465614072083544</v>
      </c>
      <c r="AD12" s="174">
        <f t="shared" si="16"/>
        <v>1.3037042560293409E-2</v>
      </c>
      <c r="AE12" s="101">
        <f t="shared" si="24"/>
        <v>4943.1586663001381</v>
      </c>
      <c r="AF12" s="101">
        <f t="shared" si="17"/>
        <v>764.48984230073142</v>
      </c>
      <c r="AG12" s="101">
        <f t="shared" si="18"/>
        <v>64.444169914838113</v>
      </c>
      <c r="AH12" s="147">
        <f>G12/F12</f>
        <v>2.91514127099839E-2</v>
      </c>
      <c r="AI12" s="147">
        <f>H12/F12</f>
        <v>1.2352700851551298E-3</v>
      </c>
      <c r="AJ12" s="174">
        <f t="shared" si="19"/>
        <v>0.13546614649254732</v>
      </c>
      <c r="AK12" s="174">
        <f t="shared" si="20"/>
        <v>5.7402802388433075E-3</v>
      </c>
      <c r="AL12" s="101">
        <f t="shared" si="25"/>
        <v>4355.2921890865518</v>
      </c>
      <c r="AM12" s="101">
        <f t="shared" si="21"/>
        <v>589.99464970464589</v>
      </c>
      <c r="AN12" s="101">
        <f t="shared" si="22"/>
        <v>25.000597687402145</v>
      </c>
      <c r="AO12" s="109"/>
    </row>
    <row r="13" spans="1:41" x14ac:dyDescent="0.3">
      <c r="A13" s="91" t="s">
        <v>85</v>
      </c>
      <c r="B13" s="91" t="s">
        <v>54</v>
      </c>
      <c r="C13" s="92">
        <v>533364</v>
      </c>
      <c r="D13" s="93">
        <v>11064</v>
      </c>
      <c r="E13" s="92">
        <v>2382</v>
      </c>
      <c r="F13" s="92">
        <v>409014</v>
      </c>
      <c r="G13" s="92">
        <v>7460</v>
      </c>
      <c r="H13" s="92">
        <v>752</v>
      </c>
      <c r="I13" s="92"/>
      <c r="J13" s="99">
        <f t="shared" si="9"/>
        <v>40</v>
      </c>
      <c r="K13" s="129">
        <f t="shared" si="23"/>
        <v>2.5209800436474902E-2</v>
      </c>
      <c r="L13" s="100">
        <f t="shared" si="10"/>
        <v>0.11857582026847557</v>
      </c>
      <c r="M13" s="100">
        <f t="shared" si="11"/>
        <v>9.7569751260628723E-2</v>
      </c>
      <c r="N13" s="100">
        <f t="shared" si="0"/>
        <v>2.1006069007846854E-2</v>
      </c>
      <c r="O13" s="101">
        <f t="shared" si="12"/>
        <v>4114.2246540845681</v>
      </c>
      <c r="P13" s="101">
        <f t="shared" si="1"/>
        <v>401.42387612937756</v>
      </c>
      <c r="Q13" s="101">
        <f t="shared" si="2"/>
        <v>86.423686997485291</v>
      </c>
      <c r="R13" s="99">
        <f t="shared" si="13"/>
        <v>40</v>
      </c>
      <c r="S13" s="133">
        <f t="shared" si="3"/>
        <v>2.0077552357621011E-2</v>
      </c>
      <c r="T13" s="100">
        <f t="shared" si="4"/>
        <v>9.5589741679548548E-2</v>
      </c>
      <c r="U13" s="100">
        <f t="shared" si="5"/>
        <v>8.6836272884733584E-2</v>
      </c>
      <c r="V13" s="100">
        <f t="shared" si="6"/>
        <v>8.7534687948149677E-3</v>
      </c>
      <c r="W13" s="101">
        <f t="shared" si="14"/>
        <v>3740.2969416945048</v>
      </c>
      <c r="X13" s="101">
        <f t="shared" si="7"/>
        <v>324.79344589891849</v>
      </c>
      <c r="Y13" s="101">
        <f t="shared" si="8"/>
        <v>32.740572562464706</v>
      </c>
      <c r="AA13" s="147">
        <f>D13/C13</f>
        <v>2.0743807231084214E-2</v>
      </c>
      <c r="AB13" s="147">
        <f>E13/C13</f>
        <v>4.4659932053906903E-3</v>
      </c>
      <c r="AC13" s="174">
        <f t="shared" si="15"/>
        <v>9.7569751260628709E-2</v>
      </c>
      <c r="AD13" s="174">
        <f t="shared" si="16"/>
        <v>2.1006069007846857E-2</v>
      </c>
      <c r="AE13" s="101">
        <f t="shared" si="24"/>
        <v>4114.2246540845681</v>
      </c>
      <c r="AF13" s="101">
        <f t="shared" si="17"/>
        <v>401.4238761293775</v>
      </c>
      <c r="AG13" s="101">
        <f t="shared" si="18"/>
        <v>86.423686997485305</v>
      </c>
      <c r="AH13" s="147">
        <f>G13/F13</f>
        <v>1.8238984484638669E-2</v>
      </c>
      <c r="AI13" s="147">
        <f>H13/F13</f>
        <v>1.8385678729823428E-3</v>
      </c>
      <c r="AJ13" s="174">
        <f t="shared" si="19"/>
        <v>8.6836272884733598E-2</v>
      </c>
      <c r="AK13" s="174">
        <f t="shared" si="20"/>
        <v>8.7534687948149659E-3</v>
      </c>
      <c r="AL13" s="101">
        <f t="shared" si="25"/>
        <v>3740.2969416945039</v>
      </c>
      <c r="AM13" s="101">
        <f t="shared" si="21"/>
        <v>324.79344589891843</v>
      </c>
      <c r="AN13" s="101">
        <f t="shared" si="22"/>
        <v>32.740572562464692</v>
      </c>
      <c r="AO13" s="109"/>
    </row>
    <row r="14" spans="1:41" x14ac:dyDescent="0.3">
      <c r="A14" s="91" t="s">
        <v>86</v>
      </c>
      <c r="B14" s="91" t="s">
        <v>55</v>
      </c>
      <c r="C14" s="92">
        <v>347470</v>
      </c>
      <c r="D14" s="93">
        <v>4500</v>
      </c>
      <c r="E14" s="92">
        <v>2647</v>
      </c>
      <c r="F14" s="92">
        <v>269616</v>
      </c>
      <c r="G14" s="92">
        <v>2933</v>
      </c>
      <c r="H14" s="92">
        <v>835</v>
      </c>
      <c r="I14" s="92"/>
      <c r="J14" s="99">
        <f t="shared" si="9"/>
        <v>45</v>
      </c>
      <c r="K14" s="129">
        <f t="shared" si="23"/>
        <v>2.0568682188390364E-2</v>
      </c>
      <c r="L14" s="100">
        <f t="shared" si="10"/>
        <v>9.7813665446333881E-2</v>
      </c>
      <c r="M14" s="100">
        <f t="shared" si="11"/>
        <v>6.1586888835665661E-2</v>
      </c>
      <c r="N14" s="100">
        <f t="shared" si="0"/>
        <v>3.622677661066822E-2</v>
      </c>
      <c r="O14" s="101">
        <f t="shared" si="12"/>
        <v>3626.3770909577051</v>
      </c>
      <c r="P14" s="101">
        <f t="shared" si="1"/>
        <v>223.33728277701681</v>
      </c>
      <c r="Q14" s="101">
        <f t="shared" si="2"/>
        <v>131.37195278016966</v>
      </c>
      <c r="R14" s="99">
        <f t="shared" si="13"/>
        <v>45</v>
      </c>
      <c r="S14" s="133">
        <f t="shared" si="3"/>
        <v>1.397543172512017E-2</v>
      </c>
      <c r="T14" s="100">
        <f t="shared" si="4"/>
        <v>6.7518169698533512E-2</v>
      </c>
      <c r="U14" s="100">
        <f t="shared" si="5"/>
        <v>5.2555942602388217E-2</v>
      </c>
      <c r="V14" s="100">
        <f t="shared" si="6"/>
        <v>1.4962227096145298E-2</v>
      </c>
      <c r="W14" s="101">
        <f t="shared" si="14"/>
        <v>3382.7629232331215</v>
      </c>
      <c r="X14" s="101">
        <f t="shared" si="7"/>
        <v>177.7842940309269</v>
      </c>
      <c r="Y14" s="101">
        <f t="shared" si="8"/>
        <v>50.613667069834285</v>
      </c>
      <c r="AA14" s="147">
        <f>D14/C14</f>
        <v>1.2950758338849398E-2</v>
      </c>
      <c r="AB14" s="147">
        <f>E14/C14</f>
        <v>7.6179238495409675E-3</v>
      </c>
      <c r="AC14" s="174">
        <f t="shared" si="15"/>
        <v>6.1586888835665654E-2</v>
      </c>
      <c r="AD14" s="174">
        <f t="shared" si="16"/>
        <v>3.622677661066822E-2</v>
      </c>
      <c r="AE14" s="101">
        <f t="shared" si="24"/>
        <v>3626.3770909577056</v>
      </c>
      <c r="AF14" s="101">
        <f t="shared" si="17"/>
        <v>223.33728277701681</v>
      </c>
      <c r="AG14" s="101">
        <f t="shared" si="18"/>
        <v>131.37195278016966</v>
      </c>
      <c r="AH14" s="147">
        <f>G14/F14</f>
        <v>1.087843451427215E-2</v>
      </c>
      <c r="AI14" s="147">
        <f>H14/F14</f>
        <v>3.0969972108480211E-3</v>
      </c>
      <c r="AJ14" s="174">
        <f t="shared" si="19"/>
        <v>5.2555942602388217E-2</v>
      </c>
      <c r="AK14" s="174">
        <f t="shared" si="20"/>
        <v>1.4962227096145298E-2</v>
      </c>
      <c r="AL14" s="101">
        <f t="shared" si="25"/>
        <v>3382.7629232331205</v>
      </c>
      <c r="AM14" s="101">
        <f t="shared" si="21"/>
        <v>177.78429403092687</v>
      </c>
      <c r="AN14" s="101">
        <f t="shared" si="22"/>
        <v>50.613667069834271</v>
      </c>
      <c r="AO14" s="109"/>
    </row>
    <row r="15" spans="1:41" x14ac:dyDescent="0.3">
      <c r="A15" s="91" t="s">
        <v>87</v>
      </c>
      <c r="B15" s="91" t="s">
        <v>56</v>
      </c>
      <c r="C15" s="92">
        <v>241983</v>
      </c>
      <c r="D15" s="93">
        <v>2026</v>
      </c>
      <c r="E15" s="92">
        <v>2782</v>
      </c>
      <c r="F15" s="92">
        <v>195195</v>
      </c>
      <c r="G15" s="92">
        <v>1430</v>
      </c>
      <c r="H15" s="92">
        <v>870</v>
      </c>
      <c r="I15" s="92"/>
      <c r="J15" s="99">
        <f t="shared" si="9"/>
        <v>50</v>
      </c>
      <c r="K15" s="129">
        <f t="shared" si="23"/>
        <v>1.9869164362785817E-2</v>
      </c>
      <c r="L15" s="100">
        <f t="shared" si="10"/>
        <v>9.4644551442305824E-2</v>
      </c>
      <c r="M15" s="100">
        <f t="shared" si="11"/>
        <v>3.9881418723400917E-2</v>
      </c>
      <c r="N15" s="100">
        <f t="shared" si="0"/>
        <v>5.4763132718904914E-2</v>
      </c>
      <c r="O15" s="101">
        <f t="shared" si="12"/>
        <v>3271.6678554005189</v>
      </c>
      <c r="P15" s="101">
        <f t="shared" si="1"/>
        <v>130.47875566511917</v>
      </c>
      <c r="Q15" s="101">
        <f t="shared" si="2"/>
        <v>179.16678097747362</v>
      </c>
      <c r="R15" s="99">
        <f t="shared" si="13"/>
        <v>50</v>
      </c>
      <c r="S15" s="133">
        <f t="shared" si="3"/>
        <v>1.178308870616563E-2</v>
      </c>
      <c r="T15" s="100">
        <f t="shared" si="4"/>
        <v>5.7229590186369403E-2</v>
      </c>
      <c r="U15" s="100">
        <f t="shared" si="5"/>
        <v>3.5581875637612281E-2</v>
      </c>
      <c r="V15" s="100">
        <f t="shared" si="6"/>
        <v>2.1647714548757122E-2</v>
      </c>
      <c r="W15" s="101">
        <f t="shared" si="14"/>
        <v>3154.3649621323602</v>
      </c>
      <c r="X15" s="101">
        <f t="shared" si="7"/>
        <v>112.23822179823522</v>
      </c>
      <c r="Y15" s="101">
        <f t="shared" si="8"/>
        <v>68.284792282842403</v>
      </c>
      <c r="AA15" s="147">
        <f>D15/C15</f>
        <v>8.3724889764983483E-3</v>
      </c>
      <c r="AB15" s="147">
        <f>E15/C15</f>
        <v>1.1496675386287467E-2</v>
      </c>
      <c r="AC15" s="174">
        <f t="shared" si="15"/>
        <v>3.988141872340091E-2</v>
      </c>
      <c r="AD15" s="174">
        <f t="shared" si="16"/>
        <v>5.47631327189049E-2</v>
      </c>
      <c r="AE15" s="101">
        <f t="shared" si="24"/>
        <v>3271.6678554005193</v>
      </c>
      <c r="AF15" s="101">
        <f t="shared" si="17"/>
        <v>130.47875566511917</v>
      </c>
      <c r="AG15" s="101">
        <f t="shared" si="18"/>
        <v>179.16678097747359</v>
      </c>
      <c r="AH15" s="147">
        <f>G15/F15</f>
        <v>7.326007326007326E-3</v>
      </c>
      <c r="AI15" s="147">
        <f>H15/F15</f>
        <v>4.4570813801583032E-3</v>
      </c>
      <c r="AJ15" s="174">
        <f t="shared" si="19"/>
        <v>3.5581875637612281E-2</v>
      </c>
      <c r="AK15" s="174">
        <f t="shared" si="20"/>
        <v>2.1647714548757118E-2</v>
      </c>
      <c r="AL15" s="101">
        <f t="shared" si="25"/>
        <v>3154.3649621323593</v>
      </c>
      <c r="AM15" s="101">
        <f t="shared" si="21"/>
        <v>112.23822179823519</v>
      </c>
      <c r="AN15" s="101">
        <f t="shared" si="22"/>
        <v>68.284792282842375</v>
      </c>
      <c r="AO15" s="109"/>
    </row>
    <row r="16" spans="1:41" x14ac:dyDescent="0.3">
      <c r="A16" s="102" t="s">
        <v>88</v>
      </c>
      <c r="B16" s="102" t="s">
        <v>57</v>
      </c>
      <c r="C16" s="92">
        <v>134199</v>
      </c>
      <c r="D16" s="93">
        <v>686</v>
      </c>
      <c r="E16" s="92">
        <v>2106</v>
      </c>
      <c r="F16" s="92">
        <v>114012</v>
      </c>
      <c r="G16" s="92">
        <v>436</v>
      </c>
      <c r="H16" s="92">
        <v>715</v>
      </c>
      <c r="I16" s="92"/>
      <c r="J16" s="99">
        <f t="shared" si="9"/>
        <v>55</v>
      </c>
      <c r="K16" s="129">
        <f t="shared" si="23"/>
        <v>2.0804924030730483E-2</v>
      </c>
      <c r="L16" s="100">
        <f t="shared" si="10"/>
        <v>9.8881561705352783E-2</v>
      </c>
      <c r="M16" s="100">
        <f t="shared" si="11"/>
        <v>2.4295398040785104E-2</v>
      </c>
      <c r="N16" s="100">
        <f t="shared" si="0"/>
        <v>7.4586163664567676E-2</v>
      </c>
      <c r="O16" s="101">
        <f t="shared" si="12"/>
        <v>2962.0223187579263</v>
      </c>
      <c r="P16" s="101">
        <f t="shared" si="1"/>
        <v>71.963511239913075</v>
      </c>
      <c r="Q16" s="101">
        <f t="shared" si="2"/>
        <v>220.92588144498094</v>
      </c>
      <c r="R16" s="99">
        <f t="shared" si="13"/>
        <v>55</v>
      </c>
      <c r="S16" s="133">
        <f t="shared" si="3"/>
        <v>1.0095428551380556E-2</v>
      </c>
      <c r="T16" s="100">
        <f t="shared" si="4"/>
        <v>4.9234533469644411E-2</v>
      </c>
      <c r="U16" s="100">
        <f t="shared" si="5"/>
        <v>1.8650092608831419E-2</v>
      </c>
      <c r="V16" s="100">
        <f t="shared" si="6"/>
        <v>3.0584440860812991E-2</v>
      </c>
      <c r="W16" s="101">
        <f t="shared" si="14"/>
        <v>2973.8419480512825</v>
      </c>
      <c r="X16" s="101">
        <f t="shared" si="7"/>
        <v>55.462427735184058</v>
      </c>
      <c r="Y16" s="101">
        <f t="shared" si="8"/>
        <v>90.953293189579355</v>
      </c>
      <c r="AA16" s="147">
        <f>D16/C16</f>
        <v>5.1118115634244668E-3</v>
      </c>
      <c r="AB16" s="147">
        <f>E16/C16</f>
        <v>1.5693112467306015E-2</v>
      </c>
      <c r="AC16" s="174">
        <f t="shared" si="15"/>
        <v>2.4295398040785104E-2</v>
      </c>
      <c r="AD16" s="174">
        <f t="shared" si="16"/>
        <v>7.4586163664567676E-2</v>
      </c>
      <c r="AE16" s="101">
        <f t="shared" si="24"/>
        <v>2962.0223187579268</v>
      </c>
      <c r="AF16" s="101">
        <f t="shared" si="17"/>
        <v>71.963511239913089</v>
      </c>
      <c r="AG16" s="101">
        <f t="shared" si="18"/>
        <v>220.92588144498097</v>
      </c>
      <c r="AH16" s="147">
        <f>G16/F16</f>
        <v>3.8241588604708276E-3</v>
      </c>
      <c r="AI16" s="147">
        <f>H16/F16</f>
        <v>6.2712696909097291E-3</v>
      </c>
      <c r="AJ16" s="174">
        <f t="shared" si="19"/>
        <v>1.8650092608831419E-2</v>
      </c>
      <c r="AK16" s="174">
        <f t="shared" si="20"/>
        <v>3.0584440860812995E-2</v>
      </c>
      <c r="AL16" s="101">
        <f t="shared" si="25"/>
        <v>2973.8419480512816</v>
      </c>
      <c r="AM16" s="101">
        <f t="shared" si="21"/>
        <v>55.462427735184036</v>
      </c>
      <c r="AN16" s="101">
        <f t="shared" si="22"/>
        <v>90.953293189579327</v>
      </c>
      <c r="AO16" s="109"/>
    </row>
    <row r="17" spans="1:41" x14ac:dyDescent="0.3">
      <c r="A17" s="102" t="s">
        <v>89</v>
      </c>
      <c r="B17" s="102" t="s">
        <v>58</v>
      </c>
      <c r="C17" s="92">
        <v>105503</v>
      </c>
      <c r="D17" s="93">
        <v>244</v>
      </c>
      <c r="E17" s="92">
        <v>2543</v>
      </c>
      <c r="F17" s="92">
        <v>87204</v>
      </c>
      <c r="G17" s="92">
        <v>253</v>
      </c>
      <c r="H17" s="92">
        <v>748</v>
      </c>
      <c r="I17" s="92"/>
      <c r="J17" s="99">
        <f t="shared" si="9"/>
        <v>60</v>
      </c>
      <c r="K17" s="129">
        <f t="shared" si="23"/>
        <v>2.6416310436670046E-2</v>
      </c>
      <c r="L17" s="100">
        <f t="shared" si="10"/>
        <v>0.12389915577862638</v>
      </c>
      <c r="M17" s="100">
        <f t="shared" si="11"/>
        <v>1.0847288844630367E-2</v>
      </c>
      <c r="N17" s="100">
        <f t="shared" si="0"/>
        <v>0.11305186693399602</v>
      </c>
      <c r="O17" s="101">
        <f t="shared" si="12"/>
        <v>2669.1329260730322</v>
      </c>
      <c r="P17" s="101">
        <f t="shared" si="1"/>
        <v>28.952855813827615</v>
      </c>
      <c r="Q17" s="101">
        <f t="shared" si="2"/>
        <v>301.75046038755585</v>
      </c>
      <c r="R17" s="99">
        <f t="shared" si="13"/>
        <v>60</v>
      </c>
      <c r="S17" s="133">
        <f t="shared" si="3"/>
        <v>1.1478831246273106E-2</v>
      </c>
      <c r="T17" s="100">
        <f t="shared" si="4"/>
        <v>5.5793058474023619E-2</v>
      </c>
      <c r="U17" s="100">
        <f t="shared" si="5"/>
        <v>1.4101542251676299E-2</v>
      </c>
      <c r="V17" s="100">
        <f t="shared" si="6"/>
        <v>4.1691516222347319E-2</v>
      </c>
      <c r="W17" s="101">
        <f t="shared" si="14"/>
        <v>2827.4262271265193</v>
      </c>
      <c r="X17" s="101">
        <f t="shared" si="7"/>
        <v>39.871070405322321</v>
      </c>
      <c r="Y17" s="101">
        <f t="shared" si="8"/>
        <v>117.87968641573555</v>
      </c>
      <c r="AA17" s="147">
        <f>D17/C17</f>
        <v>2.3127304436840659E-3</v>
      </c>
      <c r="AB17" s="147">
        <f>E17/C17</f>
        <v>2.4103579992985982E-2</v>
      </c>
      <c r="AC17" s="174">
        <f t="shared" si="15"/>
        <v>1.0847288844630371E-2</v>
      </c>
      <c r="AD17" s="174">
        <f t="shared" si="16"/>
        <v>0.11305186693399603</v>
      </c>
      <c r="AE17" s="101">
        <f t="shared" si="24"/>
        <v>2669.1329260730326</v>
      </c>
      <c r="AF17" s="101">
        <f t="shared" si="17"/>
        <v>28.952855813827629</v>
      </c>
      <c r="AG17" s="101">
        <f t="shared" si="18"/>
        <v>301.75046038755596</v>
      </c>
      <c r="AH17" s="147">
        <f>G17/F17</f>
        <v>2.9012430622448512E-3</v>
      </c>
      <c r="AI17" s="147">
        <f>H17/F17</f>
        <v>8.577588184028255E-3</v>
      </c>
      <c r="AJ17" s="174">
        <f t="shared" si="19"/>
        <v>1.4101542251676299E-2</v>
      </c>
      <c r="AK17" s="174">
        <f t="shared" si="20"/>
        <v>4.1691516222347319E-2</v>
      </c>
      <c r="AL17" s="101">
        <f t="shared" si="25"/>
        <v>2827.4262271265184</v>
      </c>
      <c r="AM17" s="101">
        <f t="shared" si="21"/>
        <v>39.871070405322307</v>
      </c>
      <c r="AN17" s="101">
        <f t="shared" si="22"/>
        <v>117.87968641573552</v>
      </c>
      <c r="AO17" s="109"/>
    </row>
    <row r="18" spans="1:41" x14ac:dyDescent="0.3">
      <c r="A18" s="102" t="s">
        <v>90</v>
      </c>
      <c r="B18" s="102" t="s">
        <v>59</v>
      </c>
      <c r="C18" s="92">
        <v>106286</v>
      </c>
      <c r="D18" s="93">
        <v>244</v>
      </c>
      <c r="E18" s="92">
        <v>3626</v>
      </c>
      <c r="F18" s="92">
        <v>93411</v>
      </c>
      <c r="G18" s="92">
        <v>133</v>
      </c>
      <c r="H18" s="92">
        <v>1127</v>
      </c>
      <c r="I18" s="92"/>
      <c r="J18" s="99">
        <f t="shared" si="9"/>
        <v>65</v>
      </c>
      <c r="K18" s="129">
        <f t="shared" si="23"/>
        <v>3.6411192443031065E-2</v>
      </c>
      <c r="L18" s="100">
        <f t="shared" si="10"/>
        <v>0.16686644647769508</v>
      </c>
      <c r="M18" s="100">
        <f t="shared" si="11"/>
        <v>1.0520778537611781E-2</v>
      </c>
      <c r="N18" s="100">
        <f t="shared" si="0"/>
        <v>0.15634566794008328</v>
      </c>
      <c r="O18" s="101">
        <f t="shared" si="12"/>
        <v>2338.4296098716486</v>
      </c>
      <c r="P18" s="101">
        <f t="shared" si="1"/>
        <v>24.602100051253533</v>
      </c>
      <c r="Q18" s="101">
        <f t="shared" si="2"/>
        <v>365.6033392862513</v>
      </c>
      <c r="R18" s="99">
        <f t="shared" si="13"/>
        <v>65</v>
      </c>
      <c r="S18" s="133">
        <f t="shared" si="3"/>
        <v>1.3488775411889392E-2</v>
      </c>
      <c r="T18" s="100">
        <f t="shared" si="4"/>
        <v>6.5243731941467056E-2</v>
      </c>
      <c r="U18" s="100">
        <f t="shared" si="5"/>
        <v>6.8868383715993001E-3</v>
      </c>
      <c r="V18" s="100">
        <f t="shared" si="6"/>
        <v>5.8356893569867757E-2</v>
      </c>
      <c r="W18" s="101">
        <f t="shared" si="14"/>
        <v>2669.6754703054612</v>
      </c>
      <c r="X18" s="101">
        <f t="shared" si="7"/>
        <v>18.385623468617059</v>
      </c>
      <c r="Y18" s="101">
        <f t="shared" si="8"/>
        <v>155.79396728670244</v>
      </c>
      <c r="AA18" s="147">
        <f>D18/C18</f>
        <v>2.2956927535141033E-3</v>
      </c>
      <c r="AB18" s="147">
        <f>E18/C18</f>
        <v>3.4115499689516965E-2</v>
      </c>
      <c r="AC18" s="174">
        <f t="shared" si="15"/>
        <v>1.0520778537611783E-2</v>
      </c>
      <c r="AD18" s="174">
        <f t="shared" si="16"/>
        <v>0.15634566794008331</v>
      </c>
      <c r="AE18" s="101">
        <f t="shared" si="24"/>
        <v>2338.4296098716491</v>
      </c>
      <c r="AF18" s="101">
        <f t="shared" si="17"/>
        <v>24.60210005125354</v>
      </c>
      <c r="AG18" s="101">
        <f t="shared" si="18"/>
        <v>365.60333928625141</v>
      </c>
      <c r="AH18" s="147">
        <f>G18/F18</f>
        <v>1.4238151823661024E-3</v>
      </c>
      <c r="AI18" s="147">
        <f>H18/F18</f>
        <v>1.2064960229523289E-2</v>
      </c>
      <c r="AJ18" s="174">
        <f t="shared" si="19"/>
        <v>6.8868383715993001E-3</v>
      </c>
      <c r="AK18" s="174">
        <f t="shared" si="20"/>
        <v>5.8356893569867757E-2</v>
      </c>
      <c r="AL18" s="101">
        <f t="shared" si="25"/>
        <v>2669.6754703054603</v>
      </c>
      <c r="AM18" s="101">
        <f t="shared" si="21"/>
        <v>18.385623468617052</v>
      </c>
      <c r="AN18" s="101">
        <f t="shared" si="22"/>
        <v>155.79396728670238</v>
      </c>
      <c r="AO18" s="109"/>
    </row>
    <row r="19" spans="1:41" ht="14.5" x14ac:dyDescent="0.35">
      <c r="A19" s="103" t="s">
        <v>122</v>
      </c>
      <c r="B19" s="103" t="s">
        <v>121</v>
      </c>
      <c r="C19" s="93">
        <v>215782</v>
      </c>
      <c r="D19" s="93">
        <v>227</v>
      </c>
      <c r="E19" s="93">
        <v>14558</v>
      </c>
      <c r="F19" s="93">
        <v>334282</v>
      </c>
      <c r="G19" s="92">
        <v>143</v>
      </c>
      <c r="H19" s="92">
        <v>18016</v>
      </c>
      <c r="I19" s="92"/>
      <c r="J19" s="94">
        <f t="shared" si="9"/>
        <v>70</v>
      </c>
      <c r="K19" s="130">
        <f t="shared" si="23"/>
        <v>6.8518226728828166E-2</v>
      </c>
      <c r="L19" s="104"/>
      <c r="M19" s="104"/>
      <c r="N19" s="104"/>
      <c r="O19" s="105">
        <f t="shared" si="12"/>
        <v>1948.2241705341435</v>
      </c>
      <c r="P19" s="115">
        <v>0</v>
      </c>
      <c r="Q19" s="116">
        <f>O19</f>
        <v>1948.2241705341435</v>
      </c>
      <c r="R19" s="94">
        <f t="shared" si="13"/>
        <v>70</v>
      </c>
      <c r="S19" s="134">
        <f t="shared" si="3"/>
        <v>5.4322398453999915E-2</v>
      </c>
      <c r="T19" s="104"/>
      <c r="U19" s="104"/>
      <c r="V19" s="105"/>
      <c r="W19" s="105">
        <f t="shared" si="14"/>
        <v>2495.4958795501416</v>
      </c>
      <c r="X19" s="115">
        <v>0</v>
      </c>
      <c r="Y19" s="116">
        <f>W19</f>
        <v>2495.4958795501416</v>
      </c>
      <c r="AA19" s="167">
        <f>D19/C19</f>
        <v>1.0519876542065603E-3</v>
      </c>
      <c r="AB19" s="167">
        <f>E19/C19</f>
        <v>6.7466239074621612E-2</v>
      </c>
      <c r="AC19" s="175">
        <f t="shared" si="15"/>
        <v>4.4907010835052797E-3</v>
      </c>
      <c r="AD19" s="175">
        <f t="shared" si="16"/>
        <v>0.28799835406903024</v>
      </c>
      <c r="AE19" s="105">
        <f t="shared" si="24"/>
        <v>1948.2241705341439</v>
      </c>
      <c r="AF19" s="105">
        <f t="shared" si="17"/>
        <v>8.7488923935288554</v>
      </c>
      <c r="AG19" s="105">
        <f t="shared" si="18"/>
        <v>561.08535447133511</v>
      </c>
      <c r="AH19" s="167">
        <f>G19/F19</f>
        <v>4.277825309170102E-4</v>
      </c>
      <c r="AI19" s="167">
        <f>H19/F19</f>
        <v>5.3894615923082909E-2</v>
      </c>
      <c r="AJ19" s="175">
        <f t="shared" si="19"/>
        <v>1.8831672502729274E-3</v>
      </c>
      <c r="AK19" s="175">
        <f t="shared" si="20"/>
        <v>0.23725273553088858</v>
      </c>
      <c r="AL19" s="105">
        <f t="shared" si="25"/>
        <v>2495.4958795501407</v>
      </c>
      <c r="AM19" s="105">
        <f t="shared" si="21"/>
        <v>4.6994361135598588</v>
      </c>
      <c r="AN19" s="105">
        <f t="shared" si="22"/>
        <v>592.06322392933168</v>
      </c>
      <c r="AO19" s="109"/>
    </row>
    <row r="20" spans="1:41" x14ac:dyDescent="0.3">
      <c r="A20" s="184" t="s">
        <v>10</v>
      </c>
      <c r="B20" s="184"/>
      <c r="C20" s="106">
        <f t="shared" ref="C20:H20" si="26">SUM(C7:C19)</f>
        <v>10979677</v>
      </c>
      <c r="D20" s="106">
        <f t="shared" si="26"/>
        <v>237081</v>
      </c>
      <c r="E20" s="106">
        <f t="shared" si="26"/>
        <v>40308</v>
      </c>
      <c r="F20" s="106">
        <f t="shared" si="26"/>
        <v>9832473</v>
      </c>
      <c r="G20" s="106">
        <f t="shared" si="26"/>
        <v>240163</v>
      </c>
      <c r="H20" s="106">
        <f t="shared" si="26"/>
        <v>26383</v>
      </c>
      <c r="I20" s="107"/>
      <c r="N20" s="108" t="s">
        <v>131</v>
      </c>
      <c r="O20" s="80">
        <f>O15/O8</f>
        <v>0.32716678554005191</v>
      </c>
      <c r="P20" s="109">
        <f>SUM(P8:P19)</f>
        <v>6522.8323822524189</v>
      </c>
      <c r="Q20" s="109">
        <f>SUM(Q8:Q19)</f>
        <v>3477.1676177475792</v>
      </c>
      <c r="V20" s="108" t="s">
        <v>131</v>
      </c>
      <c r="W20" s="80">
        <f>W15/W8</f>
        <v>0.31543649621323605</v>
      </c>
      <c r="X20" s="109">
        <f>SUM(X8:X19)</f>
        <v>6901.5481192384341</v>
      </c>
      <c r="Y20" s="109">
        <f>SUM(Y8:Y19)</f>
        <v>3098.4518807615664</v>
      </c>
      <c r="AD20" s="108" t="s">
        <v>131</v>
      </c>
      <c r="AE20" s="80">
        <f>AE15/AE8</f>
        <v>0.32716678554005191</v>
      </c>
      <c r="AK20" s="108" t="s">
        <v>131</v>
      </c>
      <c r="AL20" s="80">
        <f>AL15/AL8</f>
        <v>0.31543649621323594</v>
      </c>
    </row>
    <row r="21" spans="1:41" x14ac:dyDescent="0.3">
      <c r="N21" s="108" t="s">
        <v>145</v>
      </c>
      <c r="O21" s="80">
        <f>2.5+(SUMPRODUCT(J8:J14,P8:P14)/SUM(P8:P14))</f>
        <v>31.042391415431482</v>
      </c>
      <c r="P21" s="117" t="s">
        <v>197</v>
      </c>
      <c r="V21" s="108" t="s">
        <v>145</v>
      </c>
      <c r="W21" s="80">
        <f>2.5+(SUMPRODUCT(R8:R14,X8:X14)/SUM(X8:X14))</f>
        <v>29.141874995062224</v>
      </c>
      <c r="AD21" s="108" t="s">
        <v>145</v>
      </c>
      <c r="AE21" s="80">
        <f>2.5+(SUMPRODUCT(R8:R14,AF8:AF14)/SUM(AF8:AF14))</f>
        <v>31.042391415431482</v>
      </c>
      <c r="AK21" s="108" t="s">
        <v>145</v>
      </c>
      <c r="AL21" s="80">
        <f>2.5+(SUMPRODUCT(R8:R14,AM8:AM14)/SUM(AM8:AM14))</f>
        <v>29.141874995062224</v>
      </c>
    </row>
    <row r="22" spans="1:41" x14ac:dyDescent="0.3">
      <c r="C22" s="110"/>
      <c r="D22" s="110"/>
      <c r="E22" s="110"/>
      <c r="F22" s="110"/>
      <c r="G22" s="110"/>
      <c r="H22" s="110"/>
      <c r="I22" s="110"/>
      <c r="P22" s="109"/>
      <c r="Q22" s="109"/>
    </row>
    <row r="23" spans="1:41" x14ac:dyDescent="0.3">
      <c r="N23" s="80" t="s">
        <v>148</v>
      </c>
    </row>
    <row r="24" spans="1:41" x14ac:dyDescent="0.3">
      <c r="B24" s="111" t="s">
        <v>192</v>
      </c>
      <c r="O24" s="80" t="s">
        <v>146</v>
      </c>
      <c r="P24" s="112">
        <f>SUM(P15:P18)/O15</f>
        <v>7.8246702930904369E-2</v>
      </c>
    </row>
    <row r="25" spans="1:41" ht="15" x14ac:dyDescent="0.4">
      <c r="B25" s="108" t="s">
        <v>242</v>
      </c>
      <c r="C25" s="80" t="s">
        <v>172</v>
      </c>
      <c r="O25" s="80" t="s">
        <v>147</v>
      </c>
      <c r="P25" s="113">
        <f>SUM(X15:X18)/W15</f>
        <v>7.1633227644847669E-2</v>
      </c>
    </row>
    <row r="26" spans="1:41" ht="16.5" x14ac:dyDescent="0.45">
      <c r="B26" s="170" t="s">
        <v>231</v>
      </c>
      <c r="C26" s="80" t="s">
        <v>174</v>
      </c>
      <c r="N26" s="80" t="s">
        <v>152</v>
      </c>
    </row>
    <row r="27" spans="1:41" ht="16.5" x14ac:dyDescent="0.45">
      <c r="B27" s="170" t="s">
        <v>232</v>
      </c>
      <c r="C27" s="80" t="s">
        <v>187</v>
      </c>
      <c r="O27" s="80" t="s">
        <v>146</v>
      </c>
      <c r="P27" s="112">
        <f>SUM(Q15:Q18)/O15</f>
        <v>0.32626981383034814</v>
      </c>
    </row>
    <row r="28" spans="1:41" ht="16.5" x14ac:dyDescent="0.45">
      <c r="B28" s="170" t="s">
        <v>233</v>
      </c>
      <c r="C28" s="80" t="s">
        <v>188</v>
      </c>
      <c r="O28" s="80" t="s">
        <v>147</v>
      </c>
      <c r="P28" s="112">
        <f>SUM(Y15:Y18)/W15</f>
        <v>0.13724212143233105</v>
      </c>
    </row>
    <row r="29" spans="1:41" ht="14.5" x14ac:dyDescent="0.35">
      <c r="B29" s="170" t="s">
        <v>143</v>
      </c>
      <c r="C29" s="80" t="s">
        <v>189</v>
      </c>
    </row>
    <row r="30" spans="1:41" ht="16.5" x14ac:dyDescent="0.45">
      <c r="B30" s="170" t="s">
        <v>234</v>
      </c>
      <c r="C30" s="80" t="s">
        <v>182</v>
      </c>
      <c r="N30" s="80" t="s">
        <v>153</v>
      </c>
    </row>
    <row r="31" spans="1:41" ht="16.5" x14ac:dyDescent="0.45">
      <c r="B31" s="170" t="s">
        <v>235</v>
      </c>
      <c r="C31" s="80" t="s">
        <v>184</v>
      </c>
      <c r="O31" s="80" t="s">
        <v>146</v>
      </c>
      <c r="P31" s="112">
        <f>O19/O15</f>
        <v>0.59548348323874734</v>
      </c>
    </row>
    <row r="32" spans="1:41" x14ac:dyDescent="0.3">
      <c r="O32" s="80" t="s">
        <v>147</v>
      </c>
      <c r="P32" s="112">
        <f>W19/W15</f>
        <v>0.79112465092282114</v>
      </c>
      <c r="Q32" s="109"/>
    </row>
    <row r="33" spans="14:15" x14ac:dyDescent="0.3">
      <c r="N33" s="109"/>
      <c r="O33" s="109"/>
    </row>
  </sheetData>
  <mergeCells count="1">
    <mergeCell ref="A20:B20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8194" r:id="rId4">
          <objectPr defaultSize="0" autoPict="0" r:id="rId5">
            <anchor moveWithCells="1">
              <from>
                <xdr:col>14</xdr:col>
                <xdr:colOff>463550</xdr:colOff>
                <xdr:row>0</xdr:row>
                <xdr:rowOff>76200</xdr:rowOff>
              </from>
              <to>
                <xdr:col>18</xdr:col>
                <xdr:colOff>57150</xdr:colOff>
                <xdr:row>3</xdr:row>
                <xdr:rowOff>120650</xdr:rowOff>
              </to>
            </anchor>
          </objectPr>
        </oleObject>
      </mc:Choice>
      <mc:Fallback>
        <oleObject progId="Equation.DSMT4" shapeId="8194" r:id="rId4"/>
      </mc:Fallback>
    </mc:AlternateContent>
    <mc:AlternateContent xmlns:mc="http://schemas.openxmlformats.org/markup-compatibility/2006">
      <mc:Choice Requires="x14">
        <oleObject progId="Equation.DSMT4" shapeId="8195" r:id="rId6">
          <objectPr defaultSize="0" autoPict="0" r:id="rId7">
            <anchor moveWithCells="1">
              <from>
                <xdr:col>18</xdr:col>
                <xdr:colOff>107950</xdr:colOff>
                <xdr:row>0</xdr:row>
                <xdr:rowOff>63500</xdr:rowOff>
              </from>
              <to>
                <xdr:col>21</xdr:col>
                <xdr:colOff>133350</xdr:colOff>
                <xdr:row>3</xdr:row>
                <xdr:rowOff>107950</xdr:rowOff>
              </to>
            </anchor>
          </objectPr>
        </oleObject>
      </mc:Choice>
      <mc:Fallback>
        <oleObject progId="Equation.DSMT4" shapeId="8195" r:id="rId6"/>
      </mc:Fallback>
    </mc:AlternateContent>
    <mc:AlternateContent xmlns:mc="http://schemas.openxmlformats.org/markup-compatibility/2006">
      <mc:Choice Requires="x14">
        <oleObject progId="Equation.DSMT4" shapeId="8196" r:id="rId8">
          <objectPr defaultSize="0" autoPict="0" r:id="rId9">
            <anchor moveWithCells="1">
              <from>
                <xdr:col>29</xdr:col>
                <xdr:colOff>247650</xdr:colOff>
                <xdr:row>1</xdr:row>
                <xdr:rowOff>19050</xdr:rowOff>
              </from>
              <to>
                <xdr:col>32</xdr:col>
                <xdr:colOff>482600</xdr:colOff>
                <xdr:row>3</xdr:row>
                <xdr:rowOff>133350</xdr:rowOff>
              </to>
            </anchor>
          </objectPr>
        </oleObject>
      </mc:Choice>
      <mc:Fallback>
        <oleObject progId="Equation.DSMT4" shapeId="8196" r:id="rId8"/>
      </mc:Fallback>
    </mc:AlternateContent>
    <mc:AlternateContent xmlns:mc="http://schemas.openxmlformats.org/markup-compatibility/2006">
      <mc:Choice Requires="x14">
        <oleObject progId="Equation.DSMT4" shapeId="8197" r:id="rId10">
          <objectPr defaultSize="0" autoPict="0" r:id="rId11">
            <anchor moveWithCells="1">
              <from>
                <xdr:col>26</xdr:col>
                <xdr:colOff>12700</xdr:colOff>
                <xdr:row>1</xdr:row>
                <xdr:rowOff>12700</xdr:rowOff>
              </from>
              <to>
                <xdr:col>29</xdr:col>
                <xdr:colOff>158750</xdr:colOff>
                <xdr:row>3</xdr:row>
                <xdr:rowOff>133350</xdr:rowOff>
              </to>
            </anchor>
          </objectPr>
        </oleObject>
      </mc:Choice>
      <mc:Fallback>
        <oleObject progId="Equation.DSMT4" shapeId="819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7"/>
  </sheetPr>
  <dimension ref="A1:AK51"/>
  <sheetViews>
    <sheetView topLeftCell="M1" zoomScale="150" zoomScaleNormal="150" workbookViewId="0">
      <selection activeCell="AJ22" sqref="AJ22"/>
    </sheetView>
  </sheetViews>
  <sheetFormatPr baseColWidth="10" defaultColWidth="11.08984375" defaultRowHeight="13" x14ac:dyDescent="0.3"/>
  <cols>
    <col min="1" max="1" width="11.08984375" style="80"/>
    <col min="2" max="2" width="13.36328125" style="80" customWidth="1"/>
    <col min="3" max="3" width="10.7265625" style="80" customWidth="1"/>
    <col min="4" max="5" width="8.7265625" style="80" customWidth="1"/>
    <col min="6" max="6" width="11.08984375" style="80"/>
    <col min="7" max="8" width="8.26953125" style="80" customWidth="1"/>
    <col min="9" max="9" width="4.1796875" style="80" customWidth="1"/>
    <col min="10" max="10" width="7.7265625" style="80" customWidth="1"/>
    <col min="11" max="11" width="10.7265625" style="80" customWidth="1"/>
    <col min="12" max="14" width="9" style="80" customWidth="1"/>
    <col min="15" max="15" width="7.81640625" style="80" customWidth="1"/>
    <col min="16" max="16" width="7.26953125" style="80" customWidth="1"/>
    <col min="17" max="17" width="7.81640625" style="80" customWidth="1"/>
    <col min="18" max="18" width="7.1796875" style="80" customWidth="1"/>
    <col min="19" max="19" width="7" style="80" customWidth="1"/>
    <col min="20" max="20" width="9.54296875" style="80" customWidth="1"/>
    <col min="21" max="23" width="7.54296875" style="80" customWidth="1"/>
    <col min="24" max="24" width="7.26953125" style="80" customWidth="1"/>
    <col min="25" max="26" width="7.54296875" style="80" customWidth="1"/>
    <col min="27" max="27" width="6.6328125" style="80" customWidth="1"/>
    <col min="28" max="28" width="4.54296875" style="80" customWidth="1"/>
    <col min="29" max="29" width="6.453125" style="80" customWidth="1"/>
    <col min="30" max="31" width="7.7265625" style="80" customWidth="1"/>
    <col min="32" max="33" width="6.81640625" style="80" customWidth="1"/>
    <col min="34" max="37" width="7.1796875" style="80" customWidth="1"/>
    <col min="38" max="16384" width="11.08984375" style="80"/>
  </cols>
  <sheetData>
    <row r="1" spans="1:37" ht="14.5" x14ac:dyDescent="0.35">
      <c r="A1" s="156" t="s">
        <v>220</v>
      </c>
    </row>
    <row r="3" spans="1:37" x14ac:dyDescent="0.3">
      <c r="A3" s="81"/>
      <c r="B3" s="81"/>
      <c r="C3" s="81"/>
      <c r="D3" s="81"/>
      <c r="E3" s="81"/>
      <c r="F3" s="81"/>
      <c r="G3" s="81"/>
      <c r="H3" s="81"/>
      <c r="I3" s="81"/>
      <c r="J3" s="154" t="s">
        <v>208</v>
      </c>
      <c r="AD3" s="154" t="s">
        <v>245</v>
      </c>
    </row>
    <row r="4" spans="1:37" x14ac:dyDescent="0.3">
      <c r="A4" s="82" t="s">
        <v>0</v>
      </c>
      <c r="B4" s="82" t="s">
        <v>1</v>
      </c>
      <c r="C4" s="83" t="s">
        <v>3</v>
      </c>
      <c r="D4" s="84"/>
      <c r="E4" s="85"/>
      <c r="F4" s="83" t="s">
        <v>4</v>
      </c>
      <c r="G4" s="84"/>
      <c r="H4" s="85"/>
      <c r="I4" s="81"/>
      <c r="J4" s="80" t="s">
        <v>221</v>
      </c>
      <c r="AD4" s="80" t="s">
        <v>221</v>
      </c>
    </row>
    <row r="5" spans="1:37" x14ac:dyDescent="0.3">
      <c r="A5" s="86" t="s">
        <v>5</v>
      </c>
      <c r="B5" s="86" t="s">
        <v>67</v>
      </c>
      <c r="C5" s="82"/>
      <c r="D5" s="82"/>
      <c r="E5" s="82"/>
      <c r="F5" s="82"/>
      <c r="G5" s="82"/>
      <c r="H5" s="82"/>
      <c r="I5" s="87"/>
      <c r="N5" s="157" t="s">
        <v>157</v>
      </c>
    </row>
    <row r="6" spans="1:37" x14ac:dyDescent="0.3">
      <c r="A6" s="88" t="s">
        <v>8</v>
      </c>
      <c r="B6" s="88" t="s">
        <v>41</v>
      </c>
      <c r="C6" s="88" t="s">
        <v>44</v>
      </c>
      <c r="D6" s="88" t="s">
        <v>139</v>
      </c>
      <c r="E6" s="88" t="s">
        <v>140</v>
      </c>
      <c r="F6" s="88" t="s">
        <v>44</v>
      </c>
      <c r="G6" s="88" t="s">
        <v>139</v>
      </c>
      <c r="H6" s="88" t="s">
        <v>140</v>
      </c>
      <c r="I6" s="86"/>
      <c r="J6" s="89" t="s">
        <v>1</v>
      </c>
      <c r="K6" s="90"/>
      <c r="L6" s="83" t="s">
        <v>3</v>
      </c>
      <c r="M6" s="84"/>
      <c r="N6" s="84"/>
      <c r="O6" s="185" t="s">
        <v>168</v>
      </c>
      <c r="P6" s="186"/>
      <c r="Q6" s="185" t="s">
        <v>169</v>
      </c>
      <c r="R6" s="186"/>
      <c r="S6" s="89" t="s">
        <v>1</v>
      </c>
      <c r="T6" s="90"/>
      <c r="U6" s="83" t="s">
        <v>4</v>
      </c>
      <c r="V6" s="84"/>
      <c r="W6" s="84"/>
      <c r="X6" s="185" t="s">
        <v>168</v>
      </c>
      <c r="Y6" s="186"/>
      <c r="Z6" s="185" t="s">
        <v>169</v>
      </c>
      <c r="AA6" s="186"/>
      <c r="AB6" s="191"/>
      <c r="AC6" s="89" t="s">
        <v>1</v>
      </c>
      <c r="AD6" s="83" t="s">
        <v>3</v>
      </c>
      <c r="AE6" s="143"/>
      <c r="AF6" s="185" t="s">
        <v>168</v>
      </c>
      <c r="AG6" s="186"/>
      <c r="AH6" s="83" t="s">
        <v>4</v>
      </c>
      <c r="AI6" s="143"/>
      <c r="AJ6" s="185" t="s">
        <v>168</v>
      </c>
      <c r="AK6" s="186"/>
    </row>
    <row r="7" spans="1:37" ht="15" x14ac:dyDescent="0.4">
      <c r="A7" s="158" t="s">
        <v>79</v>
      </c>
      <c r="B7" s="158" t="s">
        <v>48</v>
      </c>
      <c r="C7" s="92">
        <v>1952300</v>
      </c>
      <c r="D7" s="93">
        <v>0</v>
      </c>
      <c r="E7" s="92">
        <v>362</v>
      </c>
      <c r="F7" s="92">
        <v>1863417</v>
      </c>
      <c r="G7" s="92">
        <v>16</v>
      </c>
      <c r="H7" s="92">
        <v>235</v>
      </c>
      <c r="I7" s="92"/>
      <c r="J7" s="94" t="s">
        <v>149</v>
      </c>
      <c r="K7" s="94" t="s">
        <v>242</v>
      </c>
      <c r="L7" s="95" t="s">
        <v>230</v>
      </c>
      <c r="M7" s="95" t="s">
        <v>212</v>
      </c>
      <c r="N7" s="95" t="s">
        <v>214</v>
      </c>
      <c r="O7" s="95" t="s">
        <v>143</v>
      </c>
      <c r="P7" s="95" t="s">
        <v>224</v>
      </c>
      <c r="Q7" s="95" t="s">
        <v>155</v>
      </c>
      <c r="R7" s="95" t="s">
        <v>225</v>
      </c>
      <c r="S7" s="94" t="s">
        <v>149</v>
      </c>
      <c r="T7" s="94" t="s">
        <v>242</v>
      </c>
      <c r="U7" s="95" t="s">
        <v>230</v>
      </c>
      <c r="V7" s="95" t="s">
        <v>212</v>
      </c>
      <c r="W7" s="95" t="s">
        <v>214</v>
      </c>
      <c r="X7" s="95" t="s">
        <v>143</v>
      </c>
      <c r="Y7" s="95" t="s">
        <v>224</v>
      </c>
      <c r="Z7" s="95" t="s">
        <v>155</v>
      </c>
      <c r="AA7" s="95" t="s">
        <v>225</v>
      </c>
      <c r="AB7" s="189"/>
      <c r="AC7" s="94" t="s">
        <v>149</v>
      </c>
      <c r="AD7" s="95" t="s">
        <v>238</v>
      </c>
      <c r="AE7" s="95" t="s">
        <v>212</v>
      </c>
      <c r="AF7" s="95" t="s">
        <v>143</v>
      </c>
      <c r="AG7" s="95" t="s">
        <v>224</v>
      </c>
      <c r="AH7" s="95" t="s">
        <v>238</v>
      </c>
      <c r="AI7" s="95" t="s">
        <v>212</v>
      </c>
      <c r="AJ7" s="95" t="s">
        <v>143</v>
      </c>
      <c r="AK7" s="95" t="s">
        <v>224</v>
      </c>
    </row>
    <row r="8" spans="1:37" x14ac:dyDescent="0.3">
      <c r="A8" s="158" t="s">
        <v>80</v>
      </c>
      <c r="B8" s="158" t="s">
        <v>49</v>
      </c>
      <c r="C8" s="92">
        <v>1977914</v>
      </c>
      <c r="D8" s="93">
        <v>992</v>
      </c>
      <c r="E8" s="92">
        <v>1420</v>
      </c>
      <c r="F8" s="92">
        <v>1891835</v>
      </c>
      <c r="G8" s="92">
        <v>6236</v>
      </c>
      <c r="H8" s="92">
        <v>547</v>
      </c>
      <c r="J8" s="89">
        <v>15</v>
      </c>
      <c r="K8" s="159">
        <f>(D8+E8)/C8</f>
        <v>1.2194665693250565E-3</v>
      </c>
      <c r="L8" s="96">
        <f>(2*5*K8)/(2+5*K8)</f>
        <v>6.0788006113075763E-3</v>
      </c>
      <c r="M8" s="96">
        <f t="shared" ref="M8:M18" si="0">1-(1-L8)^(D8/(D8+E8))</f>
        <v>2.5045585633495238E-3</v>
      </c>
      <c r="N8" s="96">
        <f t="shared" ref="N8:N18" si="1">1-(1-L8)^(E8/(D8+E8))</f>
        <v>3.583216423335589E-3</v>
      </c>
      <c r="O8" s="97">
        <v>10000</v>
      </c>
      <c r="P8" s="98">
        <f t="shared" ref="P8:P18" si="2">O8*M8</f>
        <v>25.045585633495236</v>
      </c>
      <c r="Q8" s="98">
        <v>10000</v>
      </c>
      <c r="R8" s="98">
        <f t="shared" ref="R8:R18" si="3">Q8*N8</f>
        <v>35.83216423335589</v>
      </c>
      <c r="S8" s="89">
        <v>15</v>
      </c>
      <c r="T8" s="89">
        <f t="shared" ref="T8:T19" si="4">(G8+H8)/F8</f>
        <v>3.5854078183351085E-3</v>
      </c>
      <c r="U8" s="96">
        <f t="shared" ref="U8:U18" si="5">(2*5*T8)/(2+5*T8)</f>
        <v>1.7767777272804666E-2</v>
      </c>
      <c r="V8" s="96">
        <f t="shared" ref="V8:V18" si="6">1-(1-U8)^(G8/(G8+H8))</f>
        <v>1.6346712555988852E-2</v>
      </c>
      <c r="W8" s="96">
        <f t="shared" ref="W8:W18" si="7">1-(1-U8)^(H8/(G8+H8))</f>
        <v>1.4446804935795976E-3</v>
      </c>
      <c r="X8" s="97">
        <v>10000</v>
      </c>
      <c r="Y8" s="98">
        <f t="shared" ref="Y8:Y18" si="8">X8*V8</f>
        <v>163.46712555988853</v>
      </c>
      <c r="Z8" s="98">
        <v>10000</v>
      </c>
      <c r="AA8" s="98">
        <f t="shared" ref="AA8:AA18" si="9">Z8*W8</f>
        <v>14.446804935795976</v>
      </c>
      <c r="AB8" s="190"/>
      <c r="AC8" s="89">
        <v>15</v>
      </c>
      <c r="AD8" s="96">
        <f>D8/C8</f>
        <v>5.0153848953999008E-4</v>
      </c>
      <c r="AE8" s="96">
        <f>1-EXP(-AD8*5)</f>
        <v>2.5045508136265493E-3</v>
      </c>
      <c r="AF8" s="97">
        <v>10000</v>
      </c>
      <c r="AG8" s="98">
        <f>AF8*AE8</f>
        <v>25.045508136265493</v>
      </c>
      <c r="AH8" s="96">
        <f>G8/F8</f>
        <v>3.2962705521358891E-3</v>
      </c>
      <c r="AI8" s="96">
        <f>1-EXP(-AH8*5)</f>
        <v>1.6346278353988275E-2</v>
      </c>
      <c r="AJ8" s="97">
        <v>10000</v>
      </c>
      <c r="AK8" s="98">
        <f>AJ8*AI8</f>
        <v>163.46278353988276</v>
      </c>
    </row>
    <row r="9" spans="1:37" x14ac:dyDescent="0.3">
      <c r="A9" s="158" t="s">
        <v>81</v>
      </c>
      <c r="B9" s="158" t="s">
        <v>50</v>
      </c>
      <c r="C9" s="92">
        <v>1914972</v>
      </c>
      <c r="D9" s="93">
        <v>29152</v>
      </c>
      <c r="E9" s="92">
        <v>1935</v>
      </c>
      <c r="F9" s="92">
        <v>1785031</v>
      </c>
      <c r="G9" s="92">
        <v>61484</v>
      </c>
      <c r="H9" s="92">
        <v>605</v>
      </c>
      <c r="J9" s="99">
        <f t="shared" ref="J9:J19" si="10">J8+5</f>
        <v>20</v>
      </c>
      <c r="K9" s="159">
        <f t="shared" ref="K9:K19" si="11">(D9+E9)/C9</f>
        <v>1.6233657724499365E-2</v>
      </c>
      <c r="L9" s="100">
        <f t="shared" ref="L9:L18" si="12">2*5*K9/(2+5*K9)</f>
        <v>7.8002619073367918E-2</v>
      </c>
      <c r="M9" s="100">
        <f t="shared" si="0"/>
        <v>7.3330057874848253E-2</v>
      </c>
      <c r="N9" s="100">
        <f t="shared" si="1"/>
        <v>5.0423144057137881E-3</v>
      </c>
      <c r="O9" s="101">
        <f t="shared" ref="O9:O19" si="13">O8-P8</f>
        <v>9974.9544143665044</v>
      </c>
      <c r="P9" s="101">
        <f>O9*M9</f>
        <v>731.46398450446884</v>
      </c>
      <c r="Q9" s="101">
        <f t="shared" ref="Q9:Q19" si="14">Q8-R8</f>
        <v>9964.1678357666442</v>
      </c>
      <c r="R9" s="101">
        <f t="shared" si="3"/>
        <v>50.24246701923613</v>
      </c>
      <c r="S9" s="99">
        <f t="shared" ref="S9:S19" si="15">S8+5</f>
        <v>20</v>
      </c>
      <c r="T9" s="99">
        <f t="shared" si="4"/>
        <v>3.4783149424295716E-2</v>
      </c>
      <c r="U9" s="100">
        <f t="shared" si="5"/>
        <v>0.16000228836077351</v>
      </c>
      <c r="V9" s="100">
        <f t="shared" si="6"/>
        <v>0.1585739701968879</v>
      </c>
      <c r="W9" s="100">
        <f t="shared" si="7"/>
        <v>1.6974970030577685E-3</v>
      </c>
      <c r="X9" s="101">
        <f>X8-Y8</f>
        <v>9836.5328744401122</v>
      </c>
      <c r="Y9" s="101">
        <f t="shared" si="8"/>
        <v>1559.8180708721745</v>
      </c>
      <c r="Z9" s="101">
        <f t="shared" ref="Z9:Z19" si="16">Z8-AA8</f>
        <v>9985.5531950642035</v>
      </c>
      <c r="AA9" s="101">
        <f t="shared" si="9"/>
        <v>16.950446622495409</v>
      </c>
      <c r="AB9" s="190"/>
      <c r="AC9" s="99">
        <f t="shared" ref="AC9:AC19" si="17">AC8+5</f>
        <v>20</v>
      </c>
      <c r="AD9" s="100">
        <f t="shared" ref="AD9:AD18" si="18">D9/C9</f>
        <v>1.5223199085939637E-2</v>
      </c>
      <c r="AE9" s="100">
        <f t="shared" ref="AE9:AE19" si="19">1-EXP(-AD9*5)</f>
        <v>7.3291293649861866E-2</v>
      </c>
      <c r="AF9" s="101">
        <f>AF8-AG8</f>
        <v>9974.9544918637348</v>
      </c>
      <c r="AG9" s="101">
        <f>AF9*AE9</f>
        <v>731.07731880719359</v>
      </c>
      <c r="AH9" s="100">
        <f t="shared" ref="AH9:AH19" si="20">G9/F9</f>
        <v>3.4444219736239873E-2</v>
      </c>
      <c r="AI9" s="100">
        <f t="shared" ref="AI9:AI19" si="21">1-EXP(-AH9*5)</f>
        <v>0.15820696673788281</v>
      </c>
      <c r="AJ9" s="101">
        <f>AJ8-AK8</f>
        <v>9836.5372164601176</v>
      </c>
      <c r="AK9" s="101">
        <f>AJ9*AI9</f>
        <v>1556.2087162204523</v>
      </c>
    </row>
    <row r="10" spans="1:37" x14ac:dyDescent="0.3">
      <c r="A10" s="158" t="s">
        <v>82</v>
      </c>
      <c r="B10" s="158" t="s">
        <v>51</v>
      </c>
      <c r="C10" s="92">
        <v>1561244</v>
      </c>
      <c r="D10" s="93">
        <v>100552</v>
      </c>
      <c r="E10" s="92">
        <v>1873</v>
      </c>
      <c r="F10" s="92">
        <v>1283917</v>
      </c>
      <c r="G10" s="92">
        <v>98530</v>
      </c>
      <c r="H10" s="92">
        <v>563</v>
      </c>
      <c r="J10" s="99">
        <f t="shared" si="10"/>
        <v>25</v>
      </c>
      <c r="K10" s="159">
        <f t="shared" si="11"/>
        <v>6.5604735710753731E-2</v>
      </c>
      <c r="L10" s="100">
        <f t="shared" si="12"/>
        <v>0.28180441769178727</v>
      </c>
      <c r="M10" s="100">
        <f t="shared" si="0"/>
        <v>0.27744392947968433</v>
      </c>
      <c r="N10" s="100">
        <f t="shared" si="1"/>
        <v>6.0348094632476368E-3</v>
      </c>
      <c r="O10" s="101">
        <f t="shared" si="13"/>
        <v>9243.4904298620349</v>
      </c>
      <c r="P10" s="101">
        <f t="shared" si="2"/>
        <v>2564.5503069687793</v>
      </c>
      <c r="Q10" s="101">
        <f t="shared" si="14"/>
        <v>9913.9253687474084</v>
      </c>
      <c r="R10" s="101">
        <f t="shared" si="3"/>
        <v>59.828650633247676</v>
      </c>
      <c r="S10" s="99">
        <f t="shared" si="15"/>
        <v>25</v>
      </c>
      <c r="T10" s="99">
        <f t="shared" si="4"/>
        <v>7.7180222709100355E-2</v>
      </c>
      <c r="U10" s="100">
        <f t="shared" si="5"/>
        <v>0.3234845831242722</v>
      </c>
      <c r="V10" s="100">
        <f t="shared" si="6"/>
        <v>0.32198081820568636</v>
      </c>
      <c r="W10" s="100">
        <f t="shared" si="7"/>
        <v>2.2178796101406384E-3</v>
      </c>
      <c r="X10" s="101">
        <f>X9-Y9</f>
        <v>8276.7148035679384</v>
      </c>
      <c r="Y10" s="101">
        <f t="shared" si="8"/>
        <v>2664.9434045079215</v>
      </c>
      <c r="Z10" s="101">
        <f t="shared" si="16"/>
        <v>9968.6027484417082</v>
      </c>
      <c r="AA10" s="101">
        <f t="shared" si="9"/>
        <v>22.109160777360792</v>
      </c>
      <c r="AB10" s="190"/>
      <c r="AC10" s="99">
        <f t="shared" si="17"/>
        <v>25</v>
      </c>
      <c r="AD10" s="100">
        <f t="shared" si="18"/>
        <v>6.440505135648239E-2</v>
      </c>
      <c r="AE10" s="100">
        <f t="shared" si="19"/>
        <v>0.27532011298346226</v>
      </c>
      <c r="AF10" s="101">
        <f t="shared" ref="AF10:AF18" si="22">AF9-AG9</f>
        <v>9243.8771730565404</v>
      </c>
      <c r="AG10" s="101">
        <f t="shared" ref="AG10:AG18" si="23">AF10*AE10</f>
        <v>2545.0253076911745</v>
      </c>
      <c r="AH10" s="100">
        <f t="shared" si="20"/>
        <v>7.6741720843325548E-2</v>
      </c>
      <c r="AI10" s="100">
        <f t="shared" si="21"/>
        <v>0.31867006507389484</v>
      </c>
      <c r="AJ10" s="101">
        <f t="shared" ref="AJ10:AJ19" si="24">AJ9-AK9</f>
        <v>8280.328500239666</v>
      </c>
      <c r="AK10" s="101">
        <f t="shared" ref="AK10:AK19" si="25">AJ10*AI10</f>
        <v>2638.6928220046002</v>
      </c>
    </row>
    <row r="11" spans="1:37" x14ac:dyDescent="0.3">
      <c r="A11" s="158" t="s">
        <v>83</v>
      </c>
      <c r="B11" s="158" t="s">
        <v>52</v>
      </c>
      <c r="C11" s="92">
        <v>1102304</v>
      </c>
      <c r="D11" s="93">
        <v>60845</v>
      </c>
      <c r="E11" s="92">
        <v>1836</v>
      </c>
      <c r="F11" s="92">
        <v>881384</v>
      </c>
      <c r="G11" s="92">
        <v>42914</v>
      </c>
      <c r="H11" s="92">
        <v>599</v>
      </c>
      <c r="J11" s="99">
        <f t="shared" si="10"/>
        <v>30</v>
      </c>
      <c r="K11" s="159">
        <f t="shared" si="11"/>
        <v>5.6863623827909542E-2</v>
      </c>
      <c r="L11" s="100">
        <f t="shared" si="12"/>
        <v>0.24893040663411981</v>
      </c>
      <c r="M11" s="100">
        <f t="shared" si="0"/>
        <v>0.24260636078089626</v>
      </c>
      <c r="N11" s="100">
        <f t="shared" si="1"/>
        <v>8.3497477741479864E-3</v>
      </c>
      <c r="O11" s="101">
        <f t="shared" si="13"/>
        <v>6678.9401228932556</v>
      </c>
      <c r="P11" s="101">
        <f t="shared" si="2"/>
        <v>1620.3533570886448</v>
      </c>
      <c r="Q11" s="101">
        <f t="shared" si="14"/>
        <v>9854.0967181141605</v>
      </c>
      <c r="R11" s="101">
        <f t="shared" si="3"/>
        <v>82.27922213831269</v>
      </c>
      <c r="S11" s="99">
        <f t="shared" si="15"/>
        <v>30</v>
      </c>
      <c r="T11" s="99">
        <f t="shared" si="4"/>
        <v>4.936894701968722E-2</v>
      </c>
      <c r="U11" s="100">
        <f t="shared" si="5"/>
        <v>0.21972567239954088</v>
      </c>
      <c r="V11" s="100">
        <f t="shared" si="6"/>
        <v>0.21705610577754042</v>
      </c>
      <c r="W11" s="100">
        <f t="shared" si="7"/>
        <v>3.4096525200590921E-3</v>
      </c>
      <c r="X11" s="101">
        <f t="shared" ref="X11:X18" si="26">X10-Y10</f>
        <v>5611.7713990600168</v>
      </c>
      <c r="Y11" s="101">
        <f t="shared" si="8"/>
        <v>1218.0692463937471</v>
      </c>
      <c r="Z11" s="101">
        <f t="shared" si="16"/>
        <v>9946.4935876643467</v>
      </c>
      <c r="AA11" s="101">
        <f t="shared" si="9"/>
        <v>33.91408692693134</v>
      </c>
      <c r="AB11" s="190"/>
      <c r="AC11" s="99">
        <f t="shared" si="17"/>
        <v>30</v>
      </c>
      <c r="AD11" s="100">
        <f t="shared" si="18"/>
        <v>5.519802159839754E-2</v>
      </c>
      <c r="AE11" s="100">
        <f t="shared" si="19"/>
        <v>0.24117956301804189</v>
      </c>
      <c r="AF11" s="101">
        <f t="shared" si="22"/>
        <v>6698.8518653653664</v>
      </c>
      <c r="AG11" s="101">
        <f t="shared" si="23"/>
        <v>1615.6261656114139</v>
      </c>
      <c r="AH11" s="100">
        <f t="shared" si="20"/>
        <v>4.8689334047361879E-2</v>
      </c>
      <c r="AI11" s="100">
        <f t="shared" si="21"/>
        <v>0.2160787187461789</v>
      </c>
      <c r="AJ11" s="101">
        <f t="shared" si="24"/>
        <v>5641.6356782350658</v>
      </c>
      <c r="AK11" s="101">
        <f t="shared" si="25"/>
        <v>1219.037408985763</v>
      </c>
    </row>
    <row r="12" spans="1:37" x14ac:dyDescent="0.3">
      <c r="A12" s="158" t="s">
        <v>84</v>
      </c>
      <c r="B12" s="158" t="s">
        <v>53</v>
      </c>
      <c r="C12" s="92">
        <v>786356</v>
      </c>
      <c r="D12" s="93">
        <v>26549</v>
      </c>
      <c r="E12" s="92">
        <v>2238</v>
      </c>
      <c r="F12" s="92">
        <v>624155</v>
      </c>
      <c r="G12" s="92">
        <v>18195</v>
      </c>
      <c r="H12" s="92">
        <v>771</v>
      </c>
      <c r="J12" s="99">
        <f t="shared" si="10"/>
        <v>35</v>
      </c>
      <c r="K12" s="159">
        <f t="shared" si="11"/>
        <v>3.6608101165375481E-2</v>
      </c>
      <c r="L12" s="100">
        <f t="shared" si="12"/>
        <v>0.16769318328112887</v>
      </c>
      <c r="M12" s="100">
        <f t="shared" si="0"/>
        <v>0.15573091041637288</v>
      </c>
      <c r="N12" s="100">
        <f t="shared" si="1"/>
        <v>1.4168791694903149E-2</v>
      </c>
      <c r="O12" s="101">
        <f t="shared" si="13"/>
        <v>5058.5867658046109</v>
      </c>
      <c r="P12" s="101">
        <f t="shared" si="2"/>
        <v>787.7783224589673</v>
      </c>
      <c r="Q12" s="101">
        <f t="shared" si="14"/>
        <v>9771.8174959758471</v>
      </c>
      <c r="R12" s="101">
        <f t="shared" si="3"/>
        <v>138.45484658109186</v>
      </c>
      <c r="S12" s="99">
        <f t="shared" si="15"/>
        <v>35</v>
      </c>
      <c r="T12" s="99">
        <f t="shared" si="4"/>
        <v>3.0386682795139029E-2</v>
      </c>
      <c r="U12" s="100">
        <f t="shared" si="5"/>
        <v>0.14120642673139064</v>
      </c>
      <c r="V12" s="100">
        <f t="shared" si="6"/>
        <v>0.13587550017431105</v>
      </c>
      <c r="W12" s="100">
        <f t="shared" si="7"/>
        <v>6.169164927223969E-3</v>
      </c>
      <c r="X12" s="101">
        <f t="shared" si="26"/>
        <v>4393.7021526662702</v>
      </c>
      <c r="Y12" s="101">
        <f t="shared" si="8"/>
        <v>596.99647761047663</v>
      </c>
      <c r="Z12" s="101">
        <f t="shared" si="16"/>
        <v>9912.5795007374145</v>
      </c>
      <c r="AA12" s="101">
        <f t="shared" si="9"/>
        <v>61.15233779426854</v>
      </c>
      <c r="AB12" s="190"/>
      <c r="AC12" s="99">
        <f t="shared" si="17"/>
        <v>35</v>
      </c>
      <c r="AD12" s="100">
        <f t="shared" si="18"/>
        <v>3.3762061966844531E-2</v>
      </c>
      <c r="AE12" s="100">
        <f t="shared" si="19"/>
        <v>0.15533088638540993</v>
      </c>
      <c r="AF12" s="101">
        <f t="shared" si="22"/>
        <v>5083.2256997539525</v>
      </c>
      <c r="AG12" s="101">
        <f t="shared" si="23"/>
        <v>789.58195363987704</v>
      </c>
      <c r="AH12" s="100">
        <f t="shared" si="20"/>
        <v>2.91514127099839E-2</v>
      </c>
      <c r="AI12" s="100">
        <f t="shared" si="21"/>
        <v>0.13563233590808976</v>
      </c>
      <c r="AJ12" s="101">
        <f t="shared" si="24"/>
        <v>4422.5982692493026</v>
      </c>
      <c r="AK12" s="101">
        <f t="shared" si="25"/>
        <v>599.84733404135784</v>
      </c>
    </row>
    <row r="13" spans="1:37" x14ac:dyDescent="0.3">
      <c r="A13" s="158" t="s">
        <v>85</v>
      </c>
      <c r="B13" s="158" t="s">
        <v>54</v>
      </c>
      <c r="C13" s="92">
        <v>533364</v>
      </c>
      <c r="D13" s="93">
        <v>11064</v>
      </c>
      <c r="E13" s="92">
        <v>2382</v>
      </c>
      <c r="F13" s="92">
        <v>409014</v>
      </c>
      <c r="G13" s="92">
        <v>7460</v>
      </c>
      <c r="H13" s="92">
        <v>752</v>
      </c>
      <c r="J13" s="99">
        <f t="shared" si="10"/>
        <v>40</v>
      </c>
      <c r="K13" s="159">
        <f t="shared" si="11"/>
        <v>2.5209800436474902E-2</v>
      </c>
      <c r="L13" s="100">
        <f t="shared" si="12"/>
        <v>0.11857582026847557</v>
      </c>
      <c r="M13" s="100">
        <f t="shared" si="0"/>
        <v>9.8645539996530807E-2</v>
      </c>
      <c r="N13" s="100">
        <f t="shared" si="1"/>
        <v>2.211147906437172E-2</v>
      </c>
      <c r="O13" s="101">
        <f t="shared" si="13"/>
        <v>4270.8084433456434</v>
      </c>
      <c r="P13" s="101">
        <f t="shared" si="2"/>
        <v>421.29620511557414</v>
      </c>
      <c r="Q13" s="101">
        <f t="shared" si="14"/>
        <v>9633.3626493947559</v>
      </c>
      <c r="R13" s="101">
        <f t="shared" si="3"/>
        <v>213.00789654159263</v>
      </c>
      <c r="S13" s="99">
        <f t="shared" si="15"/>
        <v>40</v>
      </c>
      <c r="T13" s="99">
        <f t="shared" si="4"/>
        <v>2.0077552357621011E-2</v>
      </c>
      <c r="U13" s="100">
        <f t="shared" si="5"/>
        <v>9.5589741679548548E-2</v>
      </c>
      <c r="V13" s="100">
        <f t="shared" si="6"/>
        <v>8.7230253566551674E-2</v>
      </c>
      <c r="W13" s="100">
        <f t="shared" si="7"/>
        <v>9.158375532998031E-3</v>
      </c>
      <c r="X13" s="101">
        <f t="shared" si="26"/>
        <v>3796.7056750557936</v>
      </c>
      <c r="Y13" s="101">
        <f t="shared" si="8"/>
        <v>331.18759875268262</v>
      </c>
      <c r="Z13" s="101">
        <f t="shared" si="16"/>
        <v>9851.427162943146</v>
      </c>
      <c r="AA13" s="101">
        <f t="shared" si="9"/>
        <v>90.223069494210719</v>
      </c>
      <c r="AB13" s="190"/>
      <c r="AC13" s="99">
        <f t="shared" si="17"/>
        <v>40</v>
      </c>
      <c r="AD13" s="100">
        <f t="shared" si="18"/>
        <v>2.0743807231084214E-2</v>
      </c>
      <c r="AE13" s="100">
        <f t="shared" si="19"/>
        <v>9.8521455279398484E-2</v>
      </c>
      <c r="AF13" s="101">
        <f t="shared" si="22"/>
        <v>4293.6437461140758</v>
      </c>
      <c r="AG13" s="101">
        <f t="shared" si="23"/>
        <v>423.01603031844689</v>
      </c>
      <c r="AH13" s="100">
        <f t="shared" si="20"/>
        <v>1.8238984484638669E-2</v>
      </c>
      <c r="AI13" s="100">
        <f t="shared" si="21"/>
        <v>8.7160239381547711E-2</v>
      </c>
      <c r="AJ13" s="101">
        <f t="shared" si="24"/>
        <v>3822.7509352079446</v>
      </c>
      <c r="AK13" s="101">
        <f t="shared" si="25"/>
        <v>333.19188660875983</v>
      </c>
    </row>
    <row r="14" spans="1:37" x14ac:dyDescent="0.3">
      <c r="A14" s="158" t="s">
        <v>86</v>
      </c>
      <c r="B14" s="158" t="s">
        <v>55</v>
      </c>
      <c r="C14" s="92">
        <v>347470</v>
      </c>
      <c r="D14" s="93">
        <v>4500</v>
      </c>
      <c r="E14" s="92">
        <v>2647</v>
      </c>
      <c r="F14" s="92">
        <v>269616</v>
      </c>
      <c r="G14" s="92">
        <v>2933</v>
      </c>
      <c r="H14" s="92">
        <v>835</v>
      </c>
      <c r="J14" s="99">
        <f t="shared" si="10"/>
        <v>45</v>
      </c>
      <c r="K14" s="159">
        <f t="shared" si="11"/>
        <v>2.0568682188390364E-2</v>
      </c>
      <c r="L14" s="100">
        <f t="shared" si="12"/>
        <v>9.7813665446333881E-2</v>
      </c>
      <c r="M14" s="100">
        <f t="shared" si="0"/>
        <v>6.2755373110292778E-2</v>
      </c>
      <c r="N14" s="100">
        <f t="shared" si="1"/>
        <v>3.7405701062681818E-2</v>
      </c>
      <c r="O14" s="101">
        <f t="shared" si="13"/>
        <v>3849.5122382300692</v>
      </c>
      <c r="P14" s="101">
        <f t="shared" si="2"/>
        <v>241.57757680276626</v>
      </c>
      <c r="Q14" s="101">
        <f t="shared" si="14"/>
        <v>9420.3547528531635</v>
      </c>
      <c r="R14" s="101">
        <f t="shared" si="3"/>
        <v>352.37497378963928</v>
      </c>
      <c r="S14" s="99">
        <f t="shared" si="15"/>
        <v>45</v>
      </c>
      <c r="T14" s="99">
        <f t="shared" si="4"/>
        <v>1.397543172512017E-2</v>
      </c>
      <c r="U14" s="100">
        <f t="shared" si="5"/>
        <v>6.7518169698533512E-2</v>
      </c>
      <c r="V14" s="100">
        <f t="shared" si="6"/>
        <v>5.2960353254730141E-2</v>
      </c>
      <c r="W14" s="100">
        <f t="shared" si="7"/>
        <v>1.5371918687707375E-2</v>
      </c>
      <c r="X14" s="101">
        <f t="shared" si="26"/>
        <v>3465.5180763031108</v>
      </c>
      <c r="Y14" s="101">
        <f t="shared" si="8"/>
        <v>183.5350615316656</v>
      </c>
      <c r="Z14" s="101">
        <f t="shared" si="16"/>
        <v>9761.204093448936</v>
      </c>
      <c r="AA14" s="101">
        <f t="shared" si="9"/>
        <v>150.04843561861344</v>
      </c>
      <c r="AB14" s="190"/>
      <c r="AC14" s="99">
        <f t="shared" si="17"/>
        <v>45</v>
      </c>
      <c r="AD14" s="100">
        <f t="shared" si="18"/>
        <v>1.2950758338849398E-2</v>
      </c>
      <c r="AE14" s="100">
        <f t="shared" si="19"/>
        <v>6.2701794425905066E-2</v>
      </c>
      <c r="AF14" s="101">
        <f t="shared" si="22"/>
        <v>3870.6277157956288</v>
      </c>
      <c r="AG14" s="101">
        <f t="shared" si="23"/>
        <v>242.69530333502803</v>
      </c>
      <c r="AH14" s="100">
        <f t="shared" si="20"/>
        <v>1.087843451427215E-2</v>
      </c>
      <c r="AI14" s="100">
        <f t="shared" si="21"/>
        <v>5.2939377535911936E-2</v>
      </c>
      <c r="AJ14" s="101">
        <f t="shared" si="24"/>
        <v>3489.5590485991847</v>
      </c>
      <c r="AK14" s="101">
        <f t="shared" si="25"/>
        <v>184.73508390764991</v>
      </c>
    </row>
    <row r="15" spans="1:37" x14ac:dyDescent="0.3">
      <c r="A15" s="158" t="s">
        <v>87</v>
      </c>
      <c r="B15" s="158" t="s">
        <v>56</v>
      </c>
      <c r="C15" s="92">
        <v>241983</v>
      </c>
      <c r="D15" s="93">
        <v>2026</v>
      </c>
      <c r="E15" s="92">
        <v>2782</v>
      </c>
      <c r="F15" s="92">
        <v>195195</v>
      </c>
      <c r="G15" s="92">
        <v>1430</v>
      </c>
      <c r="H15" s="92">
        <v>870</v>
      </c>
      <c r="J15" s="99">
        <f t="shared" si="10"/>
        <v>50</v>
      </c>
      <c r="K15" s="159">
        <f t="shared" si="11"/>
        <v>1.9869164362785817E-2</v>
      </c>
      <c r="L15" s="100">
        <f t="shared" si="12"/>
        <v>9.4644551442305824E-2</v>
      </c>
      <c r="M15" s="100">
        <f t="shared" si="0"/>
        <v>4.1031380157551811E-2</v>
      </c>
      <c r="N15" s="100">
        <f t="shared" si="1"/>
        <v>5.5907117475400003E-2</v>
      </c>
      <c r="O15" s="101">
        <f t="shared" si="13"/>
        <v>3607.9346614273031</v>
      </c>
      <c r="P15" s="101">
        <f t="shared" si="2"/>
        <v>148.03853867663165</v>
      </c>
      <c r="Q15" s="101">
        <f t="shared" si="14"/>
        <v>9067.9797790635239</v>
      </c>
      <c r="R15" s="101">
        <f t="shared" si="3"/>
        <v>506.96461077265621</v>
      </c>
      <c r="S15" s="99">
        <f t="shared" si="15"/>
        <v>50</v>
      </c>
      <c r="T15" s="99">
        <f t="shared" si="4"/>
        <v>1.178308870616563E-2</v>
      </c>
      <c r="U15" s="100">
        <f t="shared" si="5"/>
        <v>5.7229590186369403E-2</v>
      </c>
      <c r="V15" s="100">
        <f t="shared" si="6"/>
        <v>3.597749333191147E-2</v>
      </c>
      <c r="W15" s="100">
        <f t="shared" si="7"/>
        <v>2.2045228931335537E-2</v>
      </c>
      <c r="X15" s="101">
        <f t="shared" si="26"/>
        <v>3281.9830147714451</v>
      </c>
      <c r="Y15" s="101">
        <f t="shared" si="8"/>
        <v>118.07752202938637</v>
      </c>
      <c r="Z15" s="101">
        <f t="shared" si="16"/>
        <v>9611.1556578303225</v>
      </c>
      <c r="AA15" s="101">
        <f t="shared" si="9"/>
        <v>211.88012677157025</v>
      </c>
      <c r="AB15" s="190"/>
      <c r="AC15" s="99">
        <f t="shared" si="17"/>
        <v>50</v>
      </c>
      <c r="AD15" s="100">
        <f t="shared" si="18"/>
        <v>8.3724889764983483E-3</v>
      </c>
      <c r="AE15" s="100">
        <f t="shared" si="19"/>
        <v>4.0998312910173418E-2</v>
      </c>
      <c r="AF15" s="101">
        <f t="shared" si="22"/>
        <v>3627.932412460601</v>
      </c>
      <c r="AG15" s="101">
        <f t="shared" si="23"/>
        <v>148.73910826302006</v>
      </c>
      <c r="AH15" s="100">
        <f t="shared" si="20"/>
        <v>7.326007326007326E-3</v>
      </c>
      <c r="AI15" s="100">
        <f t="shared" si="21"/>
        <v>3.5967273821654433E-2</v>
      </c>
      <c r="AJ15" s="101">
        <f t="shared" si="24"/>
        <v>3304.8239646915349</v>
      </c>
      <c r="AK15" s="101">
        <f t="shared" si="25"/>
        <v>118.86550847042606</v>
      </c>
    </row>
    <row r="16" spans="1:37" x14ac:dyDescent="0.3">
      <c r="A16" s="160" t="s">
        <v>88</v>
      </c>
      <c r="B16" s="160" t="s">
        <v>57</v>
      </c>
      <c r="C16" s="92">
        <v>134199</v>
      </c>
      <c r="D16" s="93">
        <v>686</v>
      </c>
      <c r="E16" s="92">
        <v>2106</v>
      </c>
      <c r="F16" s="92">
        <v>114012</v>
      </c>
      <c r="G16" s="92">
        <v>436</v>
      </c>
      <c r="H16" s="92">
        <v>715</v>
      </c>
      <c r="J16" s="99">
        <f t="shared" si="10"/>
        <v>55</v>
      </c>
      <c r="K16" s="159">
        <f t="shared" si="11"/>
        <v>2.0804924030730483E-2</v>
      </c>
      <c r="L16" s="100">
        <f t="shared" si="12"/>
        <v>9.8881561705352783E-2</v>
      </c>
      <c r="M16" s="100">
        <f t="shared" si="0"/>
        <v>2.5257693009073101E-2</v>
      </c>
      <c r="N16" s="100">
        <f t="shared" si="1"/>
        <v>7.5531623248774271E-2</v>
      </c>
      <c r="O16" s="101">
        <f t="shared" si="13"/>
        <v>3459.8961227506716</v>
      </c>
      <c r="P16" s="101">
        <f t="shared" si="2"/>
        <v>87.388994111718759</v>
      </c>
      <c r="Q16" s="101">
        <f t="shared" si="14"/>
        <v>8561.0151682908672</v>
      </c>
      <c r="R16" s="101">
        <f t="shared" si="3"/>
        <v>646.62737231838764</v>
      </c>
      <c r="S16" s="99">
        <f t="shared" si="15"/>
        <v>55</v>
      </c>
      <c r="T16" s="99">
        <f t="shared" si="4"/>
        <v>1.0095428551380556E-2</v>
      </c>
      <c r="U16" s="100">
        <f t="shared" si="5"/>
        <v>4.9234533469644411E-2</v>
      </c>
      <c r="V16" s="100">
        <f t="shared" si="6"/>
        <v>1.8943135989191284E-2</v>
      </c>
      <c r="W16" s="100">
        <f t="shared" si="7"/>
        <v>3.0876291264722688E-2</v>
      </c>
      <c r="X16" s="101">
        <f t="shared" si="26"/>
        <v>3163.9054927420589</v>
      </c>
      <c r="Y16" s="101">
        <f t="shared" si="8"/>
        <v>59.934292005962078</v>
      </c>
      <c r="Z16" s="101">
        <f t="shared" si="16"/>
        <v>9399.2755310587527</v>
      </c>
      <c r="AA16" s="101">
        <f t="shared" si="9"/>
        <v>290.21476897435105</v>
      </c>
      <c r="AB16" s="190"/>
      <c r="AC16" s="99">
        <f t="shared" si="17"/>
        <v>55</v>
      </c>
      <c r="AD16" s="100">
        <f t="shared" si="18"/>
        <v>5.1118115634244668E-3</v>
      </c>
      <c r="AE16" s="100">
        <f t="shared" si="19"/>
        <v>2.5235190216070791E-2</v>
      </c>
      <c r="AF16" s="101">
        <f t="shared" si="22"/>
        <v>3479.1933041975808</v>
      </c>
      <c r="AG16" s="101">
        <f t="shared" si="23"/>
        <v>87.798104829905796</v>
      </c>
      <c r="AH16" s="100">
        <f t="shared" si="20"/>
        <v>3.8241588604708276E-3</v>
      </c>
      <c r="AI16" s="100">
        <f t="shared" si="21"/>
        <v>1.8939151475705351E-2</v>
      </c>
      <c r="AJ16" s="101">
        <f t="shared" si="24"/>
        <v>3185.9584562211089</v>
      </c>
      <c r="AK16" s="101">
        <f t="shared" si="25"/>
        <v>60.339349797675958</v>
      </c>
    </row>
    <row r="17" spans="1:37" x14ac:dyDescent="0.3">
      <c r="A17" s="160" t="s">
        <v>89</v>
      </c>
      <c r="B17" s="160" t="s">
        <v>58</v>
      </c>
      <c r="C17" s="92">
        <v>105503</v>
      </c>
      <c r="D17" s="93">
        <v>244</v>
      </c>
      <c r="E17" s="92">
        <v>2543</v>
      </c>
      <c r="F17" s="92">
        <v>87204</v>
      </c>
      <c r="G17" s="92">
        <v>253</v>
      </c>
      <c r="H17" s="92">
        <v>748</v>
      </c>
      <c r="J17" s="99">
        <f t="shared" si="10"/>
        <v>60</v>
      </c>
      <c r="K17" s="159">
        <f t="shared" si="11"/>
        <v>2.6416310436670046E-2</v>
      </c>
      <c r="L17" s="100">
        <f t="shared" si="12"/>
        <v>0.12389915577862638</v>
      </c>
      <c r="M17" s="100">
        <f t="shared" si="0"/>
        <v>1.1513711539446025E-2</v>
      </c>
      <c r="N17" s="100">
        <f t="shared" si="1"/>
        <v>0.11369448979834296</v>
      </c>
      <c r="O17" s="101">
        <f t="shared" si="13"/>
        <v>3372.507128638953</v>
      </c>
      <c r="P17" s="101">
        <f t="shared" si="2"/>
        <v>38.830074243874293</v>
      </c>
      <c r="Q17" s="101">
        <f t="shared" si="14"/>
        <v>7914.3877959724796</v>
      </c>
      <c r="R17" s="101">
        <f t="shared" si="3"/>
        <v>899.82228252932305</v>
      </c>
      <c r="S17" s="99">
        <f t="shared" si="15"/>
        <v>60</v>
      </c>
      <c r="T17" s="99">
        <f t="shared" si="4"/>
        <v>1.1478831246273106E-2</v>
      </c>
      <c r="U17" s="100">
        <f t="shared" si="5"/>
        <v>5.5793058474023619E-2</v>
      </c>
      <c r="V17" s="100">
        <f t="shared" si="6"/>
        <v>1.4405433736778606E-2</v>
      </c>
      <c r="W17" s="100">
        <f t="shared" si="7"/>
        <v>4.1992545569890738E-2</v>
      </c>
      <c r="X17" s="101">
        <f t="shared" si="26"/>
        <v>3103.9712007360968</v>
      </c>
      <c r="Y17" s="101">
        <f t="shared" si="8"/>
        <v>44.714051453072969</v>
      </c>
      <c r="Z17" s="101">
        <f t="shared" si="16"/>
        <v>9109.0607620844021</v>
      </c>
      <c r="AA17" s="101">
        <f t="shared" si="9"/>
        <v>382.5126491507329</v>
      </c>
      <c r="AB17" s="190"/>
      <c r="AC17" s="99">
        <f t="shared" si="17"/>
        <v>60</v>
      </c>
      <c r="AD17" s="100">
        <f t="shared" si="18"/>
        <v>2.3127304436840659E-3</v>
      </c>
      <c r="AE17" s="100">
        <f t="shared" si="19"/>
        <v>1.1497050160313549E-2</v>
      </c>
      <c r="AF17" s="101">
        <f t="shared" si="22"/>
        <v>3391.3951993676751</v>
      </c>
      <c r="AG17" s="101">
        <f t="shared" si="23"/>
        <v>38.991040720576727</v>
      </c>
      <c r="AH17" s="100">
        <f t="shared" si="20"/>
        <v>2.9012430622448512E-3</v>
      </c>
      <c r="AI17" s="100">
        <f t="shared" si="21"/>
        <v>1.4401507088030119E-2</v>
      </c>
      <c r="AJ17" s="101">
        <f t="shared" si="24"/>
        <v>3125.6191064234331</v>
      </c>
      <c r="AK17" s="101">
        <f t="shared" si="25"/>
        <v>45.013625715639435</v>
      </c>
    </row>
    <row r="18" spans="1:37" x14ac:dyDescent="0.3">
      <c r="A18" s="160" t="s">
        <v>90</v>
      </c>
      <c r="B18" s="160" t="s">
        <v>59</v>
      </c>
      <c r="C18" s="92">
        <v>106286</v>
      </c>
      <c r="D18" s="93">
        <v>244</v>
      </c>
      <c r="E18" s="92">
        <v>3626</v>
      </c>
      <c r="F18" s="92">
        <v>93411</v>
      </c>
      <c r="G18" s="92">
        <v>133</v>
      </c>
      <c r="H18" s="92">
        <v>1127</v>
      </c>
      <c r="J18" s="99">
        <f t="shared" si="10"/>
        <v>65</v>
      </c>
      <c r="K18" s="159">
        <f t="shared" si="11"/>
        <v>3.6411192443031065E-2</v>
      </c>
      <c r="L18" s="140">
        <f t="shared" si="12"/>
        <v>0.16686644647769508</v>
      </c>
      <c r="M18" s="100">
        <f t="shared" si="0"/>
        <v>1.1444335829632668E-2</v>
      </c>
      <c r="N18" s="100">
        <f t="shared" si="1"/>
        <v>0.15722140520887962</v>
      </c>
      <c r="O18" s="101">
        <f t="shared" si="13"/>
        <v>3333.6770543950788</v>
      </c>
      <c r="P18" s="101">
        <f t="shared" si="2"/>
        <v>38.151719758037892</v>
      </c>
      <c r="Q18" s="101">
        <f t="shared" si="14"/>
        <v>7014.5655134431563</v>
      </c>
      <c r="R18" s="101">
        <f t="shared" si="3"/>
        <v>1102.8398469532792</v>
      </c>
      <c r="S18" s="99">
        <f t="shared" si="15"/>
        <v>65</v>
      </c>
      <c r="T18" s="99">
        <f t="shared" si="4"/>
        <v>1.3488775411889392E-2</v>
      </c>
      <c r="U18" s="100">
        <f t="shared" si="5"/>
        <v>6.5243731941467056E-2</v>
      </c>
      <c r="V18" s="100">
        <f t="shared" si="6"/>
        <v>7.0964765323026091E-3</v>
      </c>
      <c r="W18" s="100">
        <f t="shared" si="7"/>
        <v>5.8562845266261321E-2</v>
      </c>
      <c r="X18" s="101">
        <f t="shared" si="26"/>
        <v>3059.2571492830239</v>
      </c>
      <c r="Y18" s="101">
        <f t="shared" si="8"/>
        <v>21.709946566165957</v>
      </c>
      <c r="Z18" s="101">
        <f t="shared" si="16"/>
        <v>8726.5481129336695</v>
      </c>
      <c r="AA18" s="101">
        <f t="shared" si="9"/>
        <v>511.05148684631922</v>
      </c>
      <c r="AB18" s="190"/>
      <c r="AC18" s="99">
        <f t="shared" si="17"/>
        <v>65</v>
      </c>
      <c r="AD18" s="100">
        <f t="shared" si="18"/>
        <v>2.2956927535141033E-3</v>
      </c>
      <c r="AE18" s="100">
        <f t="shared" si="19"/>
        <v>1.1412837538435694E-2</v>
      </c>
      <c r="AF18" s="101">
        <f t="shared" si="22"/>
        <v>3352.4041586470985</v>
      </c>
      <c r="AG18" s="101">
        <f t="shared" si="23"/>
        <v>38.260444025815538</v>
      </c>
      <c r="AH18" s="100">
        <f t="shared" si="20"/>
        <v>1.4238151823661024E-3</v>
      </c>
      <c r="AI18" s="100">
        <f t="shared" si="21"/>
        <v>7.0937953179736057E-3</v>
      </c>
      <c r="AJ18" s="101">
        <f t="shared" si="24"/>
        <v>3080.6054807077935</v>
      </c>
      <c r="AK18" s="101">
        <f t="shared" si="25"/>
        <v>21.853184735568774</v>
      </c>
    </row>
    <row r="19" spans="1:37" x14ac:dyDescent="0.3">
      <c r="A19" s="161" t="s">
        <v>122</v>
      </c>
      <c r="B19" s="161" t="s">
        <v>121</v>
      </c>
      <c r="C19" s="93">
        <v>215782</v>
      </c>
      <c r="D19" s="93">
        <v>227</v>
      </c>
      <c r="E19" s="93">
        <v>14558</v>
      </c>
      <c r="F19" s="93">
        <v>334282</v>
      </c>
      <c r="G19" s="92">
        <v>143</v>
      </c>
      <c r="H19" s="92">
        <v>18016</v>
      </c>
      <c r="J19" s="94">
        <f t="shared" si="10"/>
        <v>70</v>
      </c>
      <c r="K19" s="159">
        <f t="shared" si="11"/>
        <v>6.8518226728828166E-2</v>
      </c>
      <c r="L19" s="104"/>
      <c r="M19" s="104"/>
      <c r="N19" s="104"/>
      <c r="O19" s="105">
        <f t="shared" si="13"/>
        <v>3295.5253346370409</v>
      </c>
      <c r="P19" s="104"/>
      <c r="Q19" s="105">
        <f t="shared" si="14"/>
        <v>5911.7256664898769</v>
      </c>
      <c r="R19" s="104"/>
      <c r="S19" s="94">
        <f t="shared" si="15"/>
        <v>70</v>
      </c>
      <c r="T19" s="94">
        <f t="shared" si="4"/>
        <v>5.4322398453999915E-2</v>
      </c>
      <c r="U19" s="104"/>
      <c r="V19" s="104"/>
      <c r="W19" s="105"/>
      <c r="X19" s="105">
        <f t="shared" ref="X19" si="27">X18-Y18</f>
        <v>3037.547202716858</v>
      </c>
      <c r="Y19" s="104"/>
      <c r="Z19" s="105">
        <f t="shared" si="16"/>
        <v>8215.4966260873498</v>
      </c>
      <c r="AA19" s="104"/>
      <c r="AB19" s="192"/>
      <c r="AC19" s="94">
        <f t="shared" si="17"/>
        <v>70</v>
      </c>
      <c r="AD19" s="140">
        <f t="shared" ref="AD19" si="28">D19/C19</f>
        <v>1.0519876542065603E-3</v>
      </c>
      <c r="AE19" s="140">
        <f t="shared" si="19"/>
        <v>5.2461290182733711E-3</v>
      </c>
      <c r="AF19" s="105">
        <f t="shared" ref="AF19" si="29">AF18-AG18</f>
        <v>3314.1437146212829</v>
      </c>
      <c r="AG19" s="105">
        <f t="shared" ref="AG19" si="30">AF19*AE19</f>
        <v>17.386425512003015</v>
      </c>
      <c r="AH19" s="140">
        <f t="shared" si="20"/>
        <v>4.277825309170102E-4</v>
      </c>
      <c r="AI19" s="140">
        <f t="shared" si="21"/>
        <v>2.1366268109435094E-3</v>
      </c>
      <c r="AJ19" s="105">
        <f t="shared" si="24"/>
        <v>3058.7522959722246</v>
      </c>
      <c r="AK19" s="105">
        <f t="shared" si="25"/>
        <v>6.5354121636092719</v>
      </c>
    </row>
    <row r="20" spans="1:37" x14ac:dyDescent="0.3">
      <c r="A20" s="184" t="s">
        <v>10</v>
      </c>
      <c r="B20" s="184"/>
      <c r="C20" s="106">
        <f t="shared" ref="C20:H20" si="31">SUM(C7:C19)</f>
        <v>10979677</v>
      </c>
      <c r="D20" s="106">
        <f t="shared" si="31"/>
        <v>237081</v>
      </c>
      <c r="E20" s="106">
        <f t="shared" si="31"/>
        <v>40308</v>
      </c>
      <c r="F20" s="106">
        <f t="shared" si="31"/>
        <v>9832473</v>
      </c>
      <c r="G20" s="106">
        <f t="shared" si="31"/>
        <v>240163</v>
      </c>
      <c r="H20" s="106">
        <f t="shared" si="31"/>
        <v>26383</v>
      </c>
      <c r="I20" s="107"/>
      <c r="N20" s="108" t="s">
        <v>131</v>
      </c>
      <c r="O20" s="80">
        <f>O15/O8</f>
        <v>0.36079346614273033</v>
      </c>
      <c r="P20" s="109">
        <f>SUM(P8:P19)</f>
        <v>6704.4746653629581</v>
      </c>
      <c r="W20" s="108" t="s">
        <v>131</v>
      </c>
      <c r="X20" s="80">
        <f>X15/X8</f>
        <v>0.32819830147714452</v>
      </c>
      <c r="Y20" s="109">
        <f>SUM(Y8:Y19)</f>
        <v>6962.4527972831438</v>
      </c>
      <c r="AE20" s="108" t="s">
        <v>131</v>
      </c>
      <c r="AF20" s="80">
        <f>AF15/AF8</f>
        <v>0.36279324124606011</v>
      </c>
      <c r="AG20" s="109">
        <f>SUM(AG8:AG19)</f>
        <v>6703.2427108907214</v>
      </c>
      <c r="AI20" s="108" t="s">
        <v>131</v>
      </c>
      <c r="AJ20" s="80">
        <f>AJ15/AJ8</f>
        <v>0.33048239646915351</v>
      </c>
      <c r="AK20" s="109">
        <f>SUM(AK8:AK19)</f>
        <v>6947.7831161913846</v>
      </c>
    </row>
    <row r="21" spans="1:37" x14ac:dyDescent="0.3">
      <c r="N21" s="108" t="s">
        <v>145</v>
      </c>
      <c r="O21" s="131">
        <f>2.5+SUMPRODUCT(J8:J14,P8:P14)/SUM(P8:P14)</f>
        <v>31.133061868724578</v>
      </c>
      <c r="W21" s="108" t="s">
        <v>145</v>
      </c>
      <c r="X21" s="80">
        <f>2.5+(SUMPRODUCT(S8:S14,Y8:Y14)/SUM(Y8:Y14))</f>
        <v>29.176843722605444</v>
      </c>
      <c r="AE21" s="108" t="s">
        <v>145</v>
      </c>
      <c r="AF21" s="80">
        <f>2.5+(SUMPRODUCT(AC8:AC14,AG8:AG14)/SUM(AG8:AG14))</f>
        <v>31.151445137844064</v>
      </c>
      <c r="AI21" s="108" t="s">
        <v>145</v>
      </c>
      <c r="AJ21" s="80">
        <f>2.5+(SUMPRODUCT(AC8:AC14,AK8:AK14)/SUM(AK8:AK14))</f>
        <v>29.198322626046053</v>
      </c>
    </row>
    <row r="22" spans="1:37" x14ac:dyDescent="0.3">
      <c r="C22" s="110"/>
      <c r="D22" s="110"/>
      <c r="E22" s="110"/>
      <c r="F22" s="110"/>
      <c r="G22" s="110"/>
      <c r="H22" s="110"/>
      <c r="I22" s="110"/>
      <c r="P22" s="109"/>
      <c r="Q22" s="109"/>
      <c r="R22" s="109"/>
    </row>
    <row r="23" spans="1:37" x14ac:dyDescent="0.3">
      <c r="B23" s="111" t="s">
        <v>192</v>
      </c>
      <c r="M23" s="80" t="s">
        <v>222</v>
      </c>
    </row>
    <row r="24" spans="1:37" ht="15" x14ac:dyDescent="0.4">
      <c r="B24" s="108" t="s">
        <v>244</v>
      </c>
      <c r="C24" s="80" t="s">
        <v>172</v>
      </c>
      <c r="N24" s="80" t="s">
        <v>146</v>
      </c>
      <c r="O24" s="112">
        <f>SUM(P15:P18)/O15</f>
        <v>8.6589518965033876E-2</v>
      </c>
      <c r="P24" s="112"/>
    </row>
    <row r="25" spans="1:37" ht="15" x14ac:dyDescent="0.4">
      <c r="B25" s="108" t="s">
        <v>243</v>
      </c>
      <c r="C25" s="80" t="s">
        <v>174</v>
      </c>
      <c r="N25" s="80" t="s">
        <v>147</v>
      </c>
      <c r="O25" s="113">
        <f>SUM(Y15:Y18)/X15</f>
        <v>7.4478085643477868E-2</v>
      </c>
      <c r="P25" s="113"/>
    </row>
    <row r="26" spans="1:37" ht="15" x14ac:dyDescent="0.4">
      <c r="B26" s="162" t="s">
        <v>212</v>
      </c>
      <c r="C26" s="80" t="s">
        <v>223</v>
      </c>
      <c r="M26" s="80" t="s">
        <v>156</v>
      </c>
    </row>
    <row r="27" spans="1:37" ht="15" x14ac:dyDescent="0.4">
      <c r="B27" s="162" t="s">
        <v>214</v>
      </c>
      <c r="C27" s="80" t="s">
        <v>178</v>
      </c>
      <c r="N27" s="80" t="s">
        <v>146</v>
      </c>
      <c r="O27" s="112">
        <f>SUM(R15:R18)/Q15</f>
        <v>0.34806585253541461</v>
      </c>
      <c r="P27" s="112"/>
    </row>
    <row r="28" spans="1:37" x14ac:dyDescent="0.3">
      <c r="B28" s="162" t="s">
        <v>179</v>
      </c>
      <c r="C28" s="80" t="s">
        <v>190</v>
      </c>
      <c r="N28" s="80" t="s">
        <v>147</v>
      </c>
      <c r="O28" s="112">
        <f>SUM(AA15:AA18)/Z15</f>
        <v>0.14521240539954355</v>
      </c>
      <c r="P28" s="112"/>
    </row>
    <row r="29" spans="1:37" ht="15" x14ac:dyDescent="0.4">
      <c r="B29" s="162" t="s">
        <v>224</v>
      </c>
      <c r="C29" s="80" t="s">
        <v>218</v>
      </c>
    </row>
    <row r="30" spans="1:37" ht="15" x14ac:dyDescent="0.4">
      <c r="B30" s="162" t="s">
        <v>225</v>
      </c>
      <c r="C30" s="80" t="s">
        <v>219</v>
      </c>
      <c r="M30" s="80" t="s">
        <v>153</v>
      </c>
    </row>
    <row r="31" spans="1:37" x14ac:dyDescent="0.3">
      <c r="N31" s="80" t="s">
        <v>146</v>
      </c>
      <c r="O31" s="112">
        <f>O19/O15</f>
        <v>0.91341048103496625</v>
      </c>
      <c r="P31" s="112"/>
    </row>
    <row r="32" spans="1:37" x14ac:dyDescent="0.3">
      <c r="N32" s="80" t="s">
        <v>147</v>
      </c>
      <c r="O32" s="112">
        <f>X19/X15</f>
        <v>0.9255219143565222</v>
      </c>
      <c r="P32" s="112"/>
      <c r="Q32" s="109"/>
    </row>
    <row r="33" spans="8:28" x14ac:dyDescent="0.3">
      <c r="J33" s="154" t="s">
        <v>209</v>
      </c>
      <c r="O33" s="112"/>
      <c r="P33" s="112"/>
      <c r="Q33" s="109"/>
    </row>
    <row r="34" spans="8:28" x14ac:dyDescent="0.3">
      <c r="J34" s="80" t="s">
        <v>221</v>
      </c>
      <c r="N34" s="109"/>
      <c r="O34" s="109"/>
      <c r="P34" s="109"/>
    </row>
    <row r="35" spans="8:28" x14ac:dyDescent="0.3">
      <c r="J35" s="83" t="s">
        <v>3</v>
      </c>
      <c r="K35" s="142"/>
      <c r="L35" s="142"/>
      <c r="M35" s="142"/>
      <c r="N35" s="142"/>
      <c r="O35" s="142"/>
      <c r="P35" s="142"/>
      <c r="Q35" s="142"/>
      <c r="R35" s="143"/>
      <c r="S35" s="83" t="s">
        <v>4</v>
      </c>
      <c r="T35" s="142"/>
      <c r="U35" s="142"/>
      <c r="V35" s="142"/>
      <c r="W35" s="142"/>
      <c r="X35" s="142"/>
      <c r="Y35" s="142"/>
      <c r="Z35" s="142"/>
      <c r="AA35" s="143"/>
      <c r="AB35" s="192"/>
    </row>
    <row r="36" spans="8:28" x14ac:dyDescent="0.3">
      <c r="J36" s="99" t="s">
        <v>1</v>
      </c>
      <c r="K36" s="163" t="s">
        <v>207</v>
      </c>
      <c r="L36" s="185" t="s">
        <v>168</v>
      </c>
      <c r="M36" s="187"/>
      <c r="N36" s="143"/>
      <c r="O36" s="163" t="s">
        <v>207</v>
      </c>
      <c r="P36" s="185" t="s">
        <v>169</v>
      </c>
      <c r="Q36" s="187"/>
      <c r="R36" s="143"/>
      <c r="S36" s="99" t="s">
        <v>1</v>
      </c>
      <c r="T36" s="163" t="s">
        <v>207</v>
      </c>
      <c r="U36" s="185" t="s">
        <v>168</v>
      </c>
      <c r="V36" s="187"/>
      <c r="W36" s="143"/>
      <c r="X36" s="163" t="s">
        <v>207</v>
      </c>
      <c r="Y36" s="185" t="s">
        <v>169</v>
      </c>
      <c r="Z36" s="187"/>
      <c r="AA36" s="143"/>
      <c r="AB36" s="192"/>
    </row>
    <row r="37" spans="8:28" ht="15" x14ac:dyDescent="0.4">
      <c r="J37" s="94" t="s">
        <v>149</v>
      </c>
      <c r="K37" s="164" t="s">
        <v>240</v>
      </c>
      <c r="L37" s="95" t="s">
        <v>212</v>
      </c>
      <c r="M37" s="95" t="s">
        <v>143</v>
      </c>
      <c r="N37" s="95" t="s">
        <v>224</v>
      </c>
      <c r="O37" s="164" t="s">
        <v>227</v>
      </c>
      <c r="P37" s="95" t="s">
        <v>214</v>
      </c>
      <c r="Q37" s="95" t="s">
        <v>155</v>
      </c>
      <c r="R37" s="95" t="s">
        <v>225</v>
      </c>
      <c r="S37" s="94" t="s">
        <v>149</v>
      </c>
      <c r="T37" s="164" t="s">
        <v>226</v>
      </c>
      <c r="U37" s="95" t="s">
        <v>212</v>
      </c>
      <c r="V37" s="95" t="s">
        <v>143</v>
      </c>
      <c r="W37" s="95" t="s">
        <v>224</v>
      </c>
      <c r="X37" s="164" t="s">
        <v>227</v>
      </c>
      <c r="Y37" s="95" t="s">
        <v>214</v>
      </c>
      <c r="Z37" s="95" t="s">
        <v>155</v>
      </c>
      <c r="AA37" s="95" t="s">
        <v>225</v>
      </c>
      <c r="AB37" s="189"/>
    </row>
    <row r="38" spans="8:28" x14ac:dyDescent="0.3">
      <c r="H38" s="109"/>
      <c r="J38" s="89">
        <v>15</v>
      </c>
      <c r="K38" s="165">
        <f t="shared" ref="K38:K49" si="32">D8/C8</f>
        <v>5.0153848953999008E-4</v>
      </c>
      <c r="L38" s="165">
        <f>2*5*K38/(2+5*K38)</f>
        <v>2.5045521244762407E-3</v>
      </c>
      <c r="M38" s="97">
        <v>10000</v>
      </c>
      <c r="N38" s="98">
        <f>M38*L38</f>
        <v>25.045521244762408</v>
      </c>
      <c r="O38" s="166">
        <f t="shared" ref="O38:O49" si="33">E8/C8</f>
        <v>7.1792807978506652E-4</v>
      </c>
      <c r="P38" s="96">
        <f>2*5*O38/(2+5*O38)</f>
        <v>3.5832091827053131E-3</v>
      </c>
      <c r="Q38" s="97">
        <v>10000</v>
      </c>
      <c r="R38" s="98">
        <f>Q38*P38</f>
        <v>35.832091827053134</v>
      </c>
      <c r="S38" s="89">
        <v>15</v>
      </c>
      <c r="T38" s="165">
        <f>G8/F8</f>
        <v>3.2962705521358891E-3</v>
      </c>
      <c r="U38" s="165">
        <f>2*5*T38/(2+5*T38)</f>
        <v>1.6346645346474956E-2</v>
      </c>
      <c r="V38" s="97">
        <v>10000</v>
      </c>
      <c r="W38" s="98">
        <f>V38*U38</f>
        <v>163.46645346474958</v>
      </c>
      <c r="X38" s="166">
        <f>H8/F8</f>
        <v>2.8913726619921926E-4</v>
      </c>
      <c r="Y38" s="96">
        <f>2*5*X38/(2+5*X38)</f>
        <v>1.444642081341008E-3</v>
      </c>
      <c r="Z38" s="97">
        <v>10000</v>
      </c>
      <c r="AA38" s="98">
        <f>Z38*Y38</f>
        <v>14.44642081341008</v>
      </c>
      <c r="AB38" s="190"/>
    </row>
    <row r="39" spans="8:28" x14ac:dyDescent="0.3">
      <c r="H39" s="109"/>
      <c r="J39" s="99">
        <f t="shared" ref="J39:J49" si="34">J38+5</f>
        <v>20</v>
      </c>
      <c r="K39" s="147">
        <f t="shared" si="32"/>
        <v>1.5223199085939637E-2</v>
      </c>
      <c r="L39" s="147">
        <f t="shared" ref="L39:L49" si="35">2*5*K39/(2+5*K39)</f>
        <v>7.3325378348086265E-2</v>
      </c>
      <c r="M39" s="101">
        <f>M38-N38</f>
        <v>9974.9544787552368</v>
      </c>
      <c r="N39" s="101">
        <f>M39*L39</f>
        <v>731.41731115966536</v>
      </c>
      <c r="O39" s="146">
        <f t="shared" si="33"/>
        <v>1.0104586385597282E-3</v>
      </c>
      <c r="P39" s="100">
        <f t="shared" ref="P39:P49" si="36">2*5*O39/(2+5*O39)</f>
        <v>5.0395625190936908E-3</v>
      </c>
      <c r="Q39" s="101">
        <f>Q38-R38</f>
        <v>9964.1679081729471</v>
      </c>
      <c r="R39" s="101">
        <f>Q39*P39</f>
        <v>50.215047123984569</v>
      </c>
      <c r="S39" s="99">
        <f t="shared" ref="S39:S49" si="37">S38+5</f>
        <v>20</v>
      </c>
      <c r="T39" s="147">
        <f t="shared" ref="T39:T49" si="38">G9/F9</f>
        <v>3.4444219736239873E-2</v>
      </c>
      <c r="U39" s="147">
        <f t="shared" ref="U39:U49" si="39">2*5*T39/(2+5*T39)</f>
        <v>0.15856682248944032</v>
      </c>
      <c r="V39" s="101">
        <f>V38-W38</f>
        <v>9836.5335465352509</v>
      </c>
      <c r="W39" s="101">
        <f>V39*U39</f>
        <v>1559.74786878488</v>
      </c>
      <c r="X39" s="146">
        <f t="shared" ref="X39:X49" si="40">H9/F9</f>
        <v>3.3892968805583769E-4</v>
      </c>
      <c r="Y39" s="100">
        <f t="shared" ref="Y39:Y49" si="41">2*5*X39/(2+5*X39)</f>
        <v>1.6932137392680336E-3</v>
      </c>
      <c r="Z39" s="101">
        <f>Z38-AA38</f>
        <v>9985.5535791865896</v>
      </c>
      <c r="AA39" s="101">
        <f>Z39*Y39</f>
        <v>16.907676514475821</v>
      </c>
      <c r="AB39" s="190"/>
    </row>
    <row r="40" spans="8:28" x14ac:dyDescent="0.3">
      <c r="H40" s="109"/>
      <c r="J40" s="99">
        <f t="shared" si="34"/>
        <v>25</v>
      </c>
      <c r="K40" s="147">
        <f t="shared" si="32"/>
        <v>6.440505135648239E-2</v>
      </c>
      <c r="L40" s="147">
        <f t="shared" si="35"/>
        <v>0.27736585193619856</v>
      </c>
      <c r="M40" s="101">
        <f t="shared" ref="M40:M49" si="42">M39-N39</f>
        <v>9243.5371675955721</v>
      </c>
      <c r="N40" s="101">
        <f t="shared" ref="N40:N48" si="43">M40*L40</f>
        <v>2563.8415613940615</v>
      </c>
      <c r="O40" s="146">
        <f t="shared" si="33"/>
        <v>1.1996843542713374E-3</v>
      </c>
      <c r="P40" s="100">
        <f t="shared" si="36"/>
        <v>5.9804850355364694E-3</v>
      </c>
      <c r="Q40" s="101">
        <f t="shared" ref="Q40:Q49" si="44">Q39-R39</f>
        <v>9913.9528610489633</v>
      </c>
      <c r="R40" s="101">
        <f t="shared" ref="R40:R49" si="45">Q40*P40</f>
        <v>59.290246728517289</v>
      </c>
      <c r="S40" s="99">
        <f t="shared" si="37"/>
        <v>25</v>
      </c>
      <c r="T40" s="147">
        <f t="shared" si="38"/>
        <v>7.6741720843325548E-2</v>
      </c>
      <c r="U40" s="147">
        <f t="shared" si="39"/>
        <v>0.32194254242139481</v>
      </c>
      <c r="V40" s="101">
        <f t="shared" ref="V40:V49" si="46">V39-W39</f>
        <v>8276.7856777503712</v>
      </c>
      <c r="W40" s="101">
        <f t="shared" ref="W40:W48" si="47">V40*U40</f>
        <v>2664.649424171942</v>
      </c>
      <c r="X40" s="146">
        <f t="shared" si="40"/>
        <v>4.3850186577481257E-4</v>
      </c>
      <c r="Y40" s="100">
        <f t="shared" si="41"/>
        <v>2.1901084123114437E-3</v>
      </c>
      <c r="Z40" s="101">
        <f t="shared" ref="Z40:Z49" si="48">Z39-AA39</f>
        <v>9968.6459026721132</v>
      </c>
      <c r="AA40" s="101">
        <f t="shared" ref="AA40:AA49" si="49">Z40*Y40</f>
        <v>21.832415250796199</v>
      </c>
      <c r="AB40" s="190"/>
    </row>
    <row r="41" spans="8:28" x14ac:dyDescent="0.3">
      <c r="H41" s="109"/>
      <c r="J41" s="99">
        <f t="shared" si="34"/>
        <v>30</v>
      </c>
      <c r="K41" s="147">
        <f t="shared" si="32"/>
        <v>5.519802159839754E-2</v>
      </c>
      <c r="L41" s="147">
        <f t="shared" si="35"/>
        <v>0.24252311732187837</v>
      </c>
      <c r="M41" s="101">
        <f t="shared" si="42"/>
        <v>6679.6956062015106</v>
      </c>
      <c r="N41" s="101">
        <f t="shared" si="43"/>
        <v>1619.9806011772444</v>
      </c>
      <c r="O41" s="146">
        <f t="shared" si="33"/>
        <v>1.665602229512004E-3</v>
      </c>
      <c r="P41" s="100">
        <f t="shared" si="36"/>
        <v>8.2934770628443205E-3</v>
      </c>
      <c r="Q41" s="101">
        <f t="shared" si="44"/>
        <v>9854.6626143204467</v>
      </c>
      <c r="R41" s="101">
        <f t="shared" si="45"/>
        <v>81.729418353936069</v>
      </c>
      <c r="S41" s="99">
        <f t="shared" si="37"/>
        <v>30</v>
      </c>
      <c r="T41" s="147">
        <f t="shared" si="38"/>
        <v>4.8689334047361879E-2</v>
      </c>
      <c r="U41" s="147">
        <f t="shared" si="39"/>
        <v>0.21702915738229883</v>
      </c>
      <c r="V41" s="101">
        <f t="shared" si="46"/>
        <v>5612.1362535784292</v>
      </c>
      <c r="W41" s="101">
        <f t="shared" si="47"/>
        <v>1217.997202228778</v>
      </c>
      <c r="X41" s="146">
        <f t="shared" si="40"/>
        <v>6.7961297232534286E-4</v>
      </c>
      <c r="Y41" s="100">
        <f t="shared" si="41"/>
        <v>3.3923012318187668E-3</v>
      </c>
      <c r="Z41" s="101">
        <f t="shared" si="48"/>
        <v>9946.8134874213174</v>
      </c>
      <c r="AA41" s="101">
        <f t="shared" si="49"/>
        <v>33.742587646050858</v>
      </c>
      <c r="AB41" s="190"/>
    </row>
    <row r="42" spans="8:28" x14ac:dyDescent="0.3">
      <c r="H42" s="109"/>
      <c r="J42" s="99">
        <f t="shared" si="34"/>
        <v>35</v>
      </c>
      <c r="K42" s="147">
        <f t="shared" si="32"/>
        <v>3.3762061966844531E-2</v>
      </c>
      <c r="L42" s="147">
        <f t="shared" si="35"/>
        <v>0.15567088469542179</v>
      </c>
      <c r="M42" s="101">
        <f t="shared" si="42"/>
        <v>5059.7150050242662</v>
      </c>
      <c r="N42" s="101">
        <f t="shared" si="43"/>
        <v>787.65031113882799</v>
      </c>
      <c r="O42" s="146">
        <f t="shared" si="33"/>
        <v>2.8460391985309455E-3</v>
      </c>
      <c r="P42" s="100">
        <f t="shared" si="36"/>
        <v>1.4129662062425581E-2</v>
      </c>
      <c r="Q42" s="101">
        <f t="shared" si="44"/>
        <v>9772.9331959665105</v>
      </c>
      <c r="R42" s="101">
        <f t="shared" si="45"/>
        <v>138.0882434176676</v>
      </c>
      <c r="S42" s="99">
        <f t="shared" si="37"/>
        <v>35</v>
      </c>
      <c r="T42" s="147">
        <f t="shared" si="38"/>
        <v>2.91514127099839E-2</v>
      </c>
      <c r="U42" s="147">
        <f t="shared" si="39"/>
        <v>0.13585607245657197</v>
      </c>
      <c r="V42" s="101">
        <f t="shared" si="46"/>
        <v>4394.1390513496517</v>
      </c>
      <c r="W42" s="101">
        <f t="shared" si="47"/>
        <v>596.97047334441072</v>
      </c>
      <c r="X42" s="146">
        <f t="shared" si="40"/>
        <v>1.2352700851551298E-3</v>
      </c>
      <c r="Y42" s="100">
        <f t="shared" si="41"/>
        <v>6.1573354949227945E-3</v>
      </c>
      <c r="Z42" s="101">
        <f t="shared" si="48"/>
        <v>9913.0708997752663</v>
      </c>
      <c r="AA42" s="101">
        <f t="shared" si="49"/>
        <v>61.038103314872494</v>
      </c>
      <c r="AB42" s="190"/>
    </row>
    <row r="43" spans="8:28" x14ac:dyDescent="0.3">
      <c r="H43" s="109"/>
      <c r="J43" s="99">
        <f t="shared" si="34"/>
        <v>40</v>
      </c>
      <c r="K43" s="147">
        <f t="shared" si="32"/>
        <v>2.0743807231084214E-2</v>
      </c>
      <c r="L43" s="147">
        <f t="shared" si="35"/>
        <v>9.8605407255304575E-2</v>
      </c>
      <c r="M43" s="101">
        <f t="shared" si="42"/>
        <v>4272.0646938854379</v>
      </c>
      <c r="N43" s="101">
        <f t="shared" si="43"/>
        <v>421.24867896158167</v>
      </c>
      <c r="O43" s="146">
        <f t="shared" si="33"/>
        <v>4.4659932053906903E-3</v>
      </c>
      <c r="P43" s="100">
        <f t="shared" si="36"/>
        <v>2.2083405183203262E-2</v>
      </c>
      <c r="Q43" s="101">
        <f t="shared" si="44"/>
        <v>9634.8449525488431</v>
      </c>
      <c r="R43" s="101">
        <f t="shared" si="45"/>
        <v>212.7701849644769</v>
      </c>
      <c r="S43" s="99">
        <f t="shared" si="37"/>
        <v>40</v>
      </c>
      <c r="T43" s="147">
        <f t="shared" si="38"/>
        <v>1.8238984484638669E-2</v>
      </c>
      <c r="U43" s="147">
        <f t="shared" si="39"/>
        <v>8.7218002918178786E-2</v>
      </c>
      <c r="V43" s="101">
        <f t="shared" si="46"/>
        <v>3797.1685780052412</v>
      </c>
      <c r="W43" s="101">
        <f t="shared" si="47"/>
        <v>331.18146011727794</v>
      </c>
      <c r="X43" s="146">
        <f t="shared" si="40"/>
        <v>1.8385678729823428E-3</v>
      </c>
      <c r="Y43" s="100">
        <f t="shared" si="41"/>
        <v>9.1507785462917428E-3</v>
      </c>
      <c r="Z43" s="101">
        <f t="shared" si="48"/>
        <v>9852.032796460393</v>
      </c>
      <c r="AA43" s="101">
        <f t="shared" si="49"/>
        <v>90.153770351212415</v>
      </c>
      <c r="AB43" s="190"/>
    </row>
    <row r="44" spans="8:28" x14ac:dyDescent="0.3">
      <c r="H44" s="109"/>
      <c r="J44" s="99">
        <f t="shared" si="34"/>
        <v>45</v>
      </c>
      <c r="K44" s="147">
        <f t="shared" si="32"/>
        <v>1.2950758338849398E-2</v>
      </c>
      <c r="L44" s="147">
        <f t="shared" si="35"/>
        <v>6.2723015165031218E-2</v>
      </c>
      <c r="M44" s="101">
        <f t="shared" si="42"/>
        <v>3850.8160149238561</v>
      </c>
      <c r="N44" s="101">
        <f t="shared" si="43"/>
        <v>241.5347913018141</v>
      </c>
      <c r="O44" s="146">
        <f t="shared" si="33"/>
        <v>7.6179238495409675E-3</v>
      </c>
      <c r="P44" s="100">
        <f t="shared" si="36"/>
        <v>3.7377766794930628E-2</v>
      </c>
      <c r="Q44" s="101">
        <f t="shared" si="44"/>
        <v>9422.0747675843668</v>
      </c>
      <c r="R44" s="101">
        <f t="shared" si="45"/>
        <v>352.17611338716864</v>
      </c>
      <c r="S44" s="99">
        <f t="shared" si="37"/>
        <v>45</v>
      </c>
      <c r="T44" s="147">
        <f t="shared" si="38"/>
        <v>1.087843451427215E-2</v>
      </c>
      <c r="U44" s="147">
        <f t="shared" si="39"/>
        <v>5.2952083149033123E-2</v>
      </c>
      <c r="V44" s="101">
        <f t="shared" si="46"/>
        <v>3465.9871178879634</v>
      </c>
      <c r="W44" s="101">
        <f t="shared" si="47"/>
        <v>183.5312380598811</v>
      </c>
      <c r="X44" s="146">
        <f t="shared" si="40"/>
        <v>3.0969972108480211E-3</v>
      </c>
      <c r="Y44" s="100">
        <f t="shared" si="41"/>
        <v>1.5366014791859508E-2</v>
      </c>
      <c r="Z44" s="101">
        <f t="shared" si="48"/>
        <v>9761.8790261091799</v>
      </c>
      <c r="AA44" s="101">
        <f t="shared" si="49"/>
        <v>150.00117751153675</v>
      </c>
      <c r="AB44" s="190"/>
    </row>
    <row r="45" spans="8:28" x14ac:dyDescent="0.3">
      <c r="H45" s="109"/>
      <c r="J45" s="99">
        <f t="shared" si="34"/>
        <v>50</v>
      </c>
      <c r="K45" s="147">
        <f t="shared" si="32"/>
        <v>8.3724889764983483E-3</v>
      </c>
      <c r="L45" s="147">
        <f t="shared" si="35"/>
        <v>4.1004177325863797E-2</v>
      </c>
      <c r="M45" s="101">
        <f t="shared" si="42"/>
        <v>3609.281223622042</v>
      </c>
      <c r="N45" s="101">
        <f t="shared" si="43"/>
        <v>147.99560731230886</v>
      </c>
      <c r="O45" s="146">
        <f t="shared" si="33"/>
        <v>1.1496675386287467E-2</v>
      </c>
      <c r="P45" s="100">
        <f t="shared" si="36"/>
        <v>5.5877367055250711E-2</v>
      </c>
      <c r="Q45" s="101">
        <f t="shared" si="44"/>
        <v>9069.898654197199</v>
      </c>
      <c r="R45" s="101">
        <f t="shared" si="45"/>
        <v>506.80205625450134</v>
      </c>
      <c r="S45" s="99">
        <f t="shared" si="37"/>
        <v>50</v>
      </c>
      <c r="T45" s="147">
        <f t="shared" si="38"/>
        <v>7.326007326007326E-3</v>
      </c>
      <c r="U45" s="147">
        <f t="shared" si="39"/>
        <v>3.5971223021582739E-2</v>
      </c>
      <c r="V45" s="101">
        <f t="shared" si="46"/>
        <v>3282.4558798280823</v>
      </c>
      <c r="W45" s="101">
        <f t="shared" si="47"/>
        <v>118.07395251180154</v>
      </c>
      <c r="X45" s="146">
        <f t="shared" si="40"/>
        <v>4.4570813801583032E-3</v>
      </c>
      <c r="Y45" s="100">
        <f t="shared" si="41"/>
        <v>2.203982368141055E-2</v>
      </c>
      <c r="Z45" s="101">
        <f t="shared" si="48"/>
        <v>9611.8778485976436</v>
      </c>
      <c r="AA45" s="101">
        <f t="shared" si="49"/>
        <v>211.84409303034784</v>
      </c>
      <c r="AB45" s="190"/>
    </row>
    <row r="46" spans="8:28" x14ac:dyDescent="0.3">
      <c r="H46" s="109"/>
      <c r="J46" s="99">
        <f t="shared" si="34"/>
        <v>55</v>
      </c>
      <c r="K46" s="147">
        <f t="shared" si="32"/>
        <v>5.1118115634244668E-3</v>
      </c>
      <c r="L46" s="147">
        <f t="shared" si="35"/>
        <v>2.5236546639786923E-2</v>
      </c>
      <c r="M46" s="101">
        <f t="shared" si="42"/>
        <v>3461.2856163097331</v>
      </c>
      <c r="N46" s="101">
        <f t="shared" si="43"/>
        <v>87.350895889624198</v>
      </c>
      <c r="O46" s="146">
        <f t="shared" si="33"/>
        <v>1.5693112467306015E-2</v>
      </c>
      <c r="P46" s="100">
        <f t="shared" si="36"/>
        <v>7.5503355704697975E-2</v>
      </c>
      <c r="Q46" s="101">
        <f t="shared" si="44"/>
        <v>8563.0965979426983</v>
      </c>
      <c r="R46" s="101">
        <f t="shared" si="45"/>
        <v>646.5425283681567</v>
      </c>
      <c r="S46" s="99">
        <f t="shared" si="37"/>
        <v>55</v>
      </c>
      <c r="T46" s="147">
        <f t="shared" si="38"/>
        <v>3.8241588604708276E-3</v>
      </c>
      <c r="U46" s="147">
        <f t="shared" si="39"/>
        <v>1.8939723028270579E-2</v>
      </c>
      <c r="V46" s="101">
        <f t="shared" si="46"/>
        <v>3164.3819273162808</v>
      </c>
      <c r="W46" s="101">
        <f t="shared" si="47"/>
        <v>59.9325172590354</v>
      </c>
      <c r="X46" s="146">
        <f t="shared" si="40"/>
        <v>6.2712696909097291E-3</v>
      </c>
      <c r="Y46" s="100">
        <f t="shared" si="41"/>
        <v>3.0872326737162083E-2</v>
      </c>
      <c r="Z46" s="101">
        <f t="shared" si="48"/>
        <v>9400.0337555672959</v>
      </c>
      <c r="AA46" s="101">
        <f t="shared" si="49"/>
        <v>290.20091344222635</v>
      </c>
      <c r="AB46" s="190"/>
    </row>
    <row r="47" spans="8:28" x14ac:dyDescent="0.3">
      <c r="H47" s="109"/>
      <c r="J47" s="99">
        <f t="shared" si="34"/>
        <v>60</v>
      </c>
      <c r="K47" s="147">
        <f t="shared" si="32"/>
        <v>2.3127304436840659E-3</v>
      </c>
      <c r="L47" s="147">
        <f t="shared" si="35"/>
        <v>1.1497177537153789E-2</v>
      </c>
      <c r="M47" s="101">
        <f t="shared" si="42"/>
        <v>3373.934720420109</v>
      </c>
      <c r="N47" s="101">
        <f t="shared" si="43"/>
        <v>38.790726479437325</v>
      </c>
      <c r="O47" s="146">
        <f t="shared" si="33"/>
        <v>2.4103579992985982E-2</v>
      </c>
      <c r="P47" s="100">
        <f t="shared" si="36"/>
        <v>0.11366836372088449</v>
      </c>
      <c r="Q47" s="101">
        <f t="shared" si="44"/>
        <v>7916.5540695745412</v>
      </c>
      <c r="R47" s="101">
        <f t="shared" si="45"/>
        <v>899.86174739644719</v>
      </c>
      <c r="S47" s="99">
        <f t="shared" si="37"/>
        <v>60</v>
      </c>
      <c r="T47" s="147">
        <f t="shared" si="38"/>
        <v>2.9012430622448512E-3</v>
      </c>
      <c r="U47" s="147">
        <f t="shared" si="39"/>
        <v>1.4401757811388204E-2</v>
      </c>
      <c r="V47" s="101">
        <f t="shared" si="46"/>
        <v>3104.4494100572456</v>
      </c>
      <c r="W47" s="101">
        <f t="shared" si="47"/>
        <v>44.709528541351439</v>
      </c>
      <c r="X47" s="146">
        <f t="shared" si="40"/>
        <v>8.577588184028255E-3</v>
      </c>
      <c r="Y47" s="100">
        <f t="shared" si="41"/>
        <v>4.1987560904416549E-2</v>
      </c>
      <c r="Z47" s="101">
        <f t="shared" si="48"/>
        <v>9109.8328421250699</v>
      </c>
      <c r="AA47" s="101">
        <f t="shared" si="49"/>
        <v>382.4996612877805</v>
      </c>
      <c r="AB47" s="190"/>
    </row>
    <row r="48" spans="8:28" x14ac:dyDescent="0.3">
      <c r="H48" s="109"/>
      <c r="J48" s="99">
        <f t="shared" si="34"/>
        <v>65</v>
      </c>
      <c r="K48" s="147">
        <f t="shared" si="32"/>
        <v>2.2956927535141033E-3</v>
      </c>
      <c r="L48" s="147">
        <f t="shared" si="35"/>
        <v>1.1412962131417452E-2</v>
      </c>
      <c r="M48" s="101">
        <f t="shared" si="42"/>
        <v>3335.1439939406719</v>
      </c>
      <c r="N48" s="101">
        <f t="shared" si="43"/>
        <v>38.063872105669248</v>
      </c>
      <c r="O48" s="146">
        <f t="shared" si="33"/>
        <v>3.4115499689516965E-2</v>
      </c>
      <c r="P48" s="100">
        <f t="shared" si="36"/>
        <v>0.15717245624225193</v>
      </c>
      <c r="Q48" s="101">
        <f t="shared" si="44"/>
        <v>7016.6923221780944</v>
      </c>
      <c r="R48" s="101">
        <f t="shared" si="45"/>
        <v>1102.8307669728815</v>
      </c>
      <c r="S48" s="99">
        <f t="shared" si="37"/>
        <v>65</v>
      </c>
      <c r="T48" s="147">
        <f t="shared" si="38"/>
        <v>1.4238151823661024E-3</v>
      </c>
      <c r="U48" s="147">
        <f t="shared" si="39"/>
        <v>7.0938251718785832E-3</v>
      </c>
      <c r="V48" s="101">
        <f t="shared" si="46"/>
        <v>3059.739881515894</v>
      </c>
      <c r="W48" s="101">
        <f t="shared" si="47"/>
        <v>21.705259790898243</v>
      </c>
      <c r="X48" s="146">
        <f t="shared" si="40"/>
        <v>1.2064960229523289E-2</v>
      </c>
      <c r="Y48" s="100">
        <f t="shared" si="41"/>
        <v>5.8558535153306973E-2</v>
      </c>
      <c r="Z48" s="101">
        <f t="shared" si="48"/>
        <v>8727.3331808372895</v>
      </c>
      <c r="AA48" s="101">
        <f t="shared" si="49"/>
        <v>511.05984686468281</v>
      </c>
      <c r="AB48" s="190"/>
    </row>
    <row r="49" spans="8:28" x14ac:dyDescent="0.3">
      <c r="H49" s="109"/>
      <c r="J49" s="94">
        <f t="shared" si="34"/>
        <v>70</v>
      </c>
      <c r="K49" s="167">
        <f t="shared" si="32"/>
        <v>1.0519876542065603E-3</v>
      </c>
      <c r="L49" s="167">
        <f t="shared" si="35"/>
        <v>5.2461410819068218E-3</v>
      </c>
      <c r="M49" s="105">
        <f t="shared" si="42"/>
        <v>3297.0801218350025</v>
      </c>
      <c r="N49" s="105"/>
      <c r="O49" s="168">
        <f t="shared" si="33"/>
        <v>6.7466239074621612E-2</v>
      </c>
      <c r="P49" s="140">
        <f t="shared" si="36"/>
        <v>0.28864646656911613</v>
      </c>
      <c r="Q49" s="105">
        <f t="shared" si="44"/>
        <v>5913.8615552052124</v>
      </c>
      <c r="R49" s="105">
        <f t="shared" si="45"/>
        <v>1707.0152416889225</v>
      </c>
      <c r="S49" s="94">
        <f t="shared" si="37"/>
        <v>70</v>
      </c>
      <c r="T49" s="167">
        <f t="shared" si="38"/>
        <v>4.277825309170102E-4</v>
      </c>
      <c r="U49" s="167">
        <f t="shared" si="39"/>
        <v>2.1366276246527977E-3</v>
      </c>
      <c r="V49" s="105">
        <f t="shared" si="46"/>
        <v>3038.0346217249958</v>
      </c>
      <c r="W49" s="105"/>
      <c r="X49" s="168">
        <f t="shared" si="40"/>
        <v>5.3894615923082909E-2</v>
      </c>
      <c r="Y49" s="140">
        <f t="shared" si="41"/>
        <v>0.23747633936339052</v>
      </c>
      <c r="Z49" s="105">
        <f t="shared" si="48"/>
        <v>8216.2733339726074</v>
      </c>
      <c r="AA49" s="105">
        <f t="shared" si="49"/>
        <v>1951.1705145608551</v>
      </c>
      <c r="AB49" s="190"/>
    </row>
    <row r="50" spans="8:28" x14ac:dyDescent="0.3">
      <c r="L50" s="108" t="s">
        <v>131</v>
      </c>
      <c r="M50" s="80">
        <f>M45/M38</f>
        <v>0.36092812236220423</v>
      </c>
      <c r="N50" s="169">
        <f>SUM(N38:N48)</f>
        <v>6702.9198781649975</v>
      </c>
      <c r="R50" s="169">
        <f>SUM(R38:R48)</f>
        <v>4086.1384447947912</v>
      </c>
      <c r="U50" s="108" t="s">
        <v>131</v>
      </c>
      <c r="V50" s="80">
        <f>V45/V38</f>
        <v>0.32824558798280823</v>
      </c>
      <c r="W50" s="169">
        <f>SUM(W38:W48)</f>
        <v>6961.9653782750056</v>
      </c>
      <c r="AA50" s="169">
        <f>SUM(AA38:AA48)</f>
        <v>1783.7266660273922</v>
      </c>
      <c r="AB50" s="193"/>
    </row>
    <row r="51" spans="8:28" x14ac:dyDescent="0.3">
      <c r="L51" s="108" t="s">
        <v>145</v>
      </c>
      <c r="M51" s="80">
        <f>2.5+SUMPRODUCT(J38:J44,N38:N44)/SUM(N38:N44)</f>
        <v>31.133126596856435</v>
      </c>
      <c r="U51" s="108" t="s">
        <v>145</v>
      </c>
      <c r="V51" s="80">
        <f>2.5+SUMPRODUCT(S38:S44,W38:W44)/SUM(W38:W44)</f>
        <v>29.176897587489847</v>
      </c>
    </row>
  </sheetData>
  <mergeCells count="11">
    <mergeCell ref="AF6:AG6"/>
    <mergeCell ref="AJ6:AK6"/>
    <mergeCell ref="A20:B20"/>
    <mergeCell ref="O6:P6"/>
    <mergeCell ref="Q6:R6"/>
    <mergeCell ref="X6:Y6"/>
    <mergeCell ref="L36:M36"/>
    <mergeCell ref="P36:Q36"/>
    <mergeCell ref="U36:V36"/>
    <mergeCell ref="Y36:Z36"/>
    <mergeCell ref="Z6:AA6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Y9" formula="1"/>
  </ignoredErrors>
  <drawing r:id="rId2"/>
  <legacyDrawing r:id="rId3"/>
  <oleObjects>
    <mc:AlternateContent xmlns:mc="http://schemas.openxmlformats.org/markup-compatibility/2006">
      <mc:Choice Requires="x14">
        <oleObject progId="Equation.DSMT4" shapeId="9217" r:id="rId4">
          <objectPr defaultSize="0" autoPict="0" r:id="rId5">
            <anchor moveWithCells="1">
              <from>
                <xdr:col>7</xdr:col>
                <xdr:colOff>336550</xdr:colOff>
                <xdr:row>20</xdr:row>
                <xdr:rowOff>139700</xdr:rowOff>
              </from>
              <to>
                <xdr:col>11</xdr:col>
                <xdr:colOff>63500</xdr:colOff>
                <xdr:row>23</xdr:row>
                <xdr:rowOff>38100</xdr:rowOff>
              </to>
            </anchor>
          </objectPr>
        </oleObject>
      </mc:Choice>
      <mc:Fallback>
        <oleObject progId="Equation.DSMT4" shapeId="9217" r:id="rId4"/>
      </mc:Fallback>
    </mc:AlternateContent>
    <mc:AlternateContent xmlns:mc="http://schemas.openxmlformats.org/markup-compatibility/2006">
      <mc:Choice Requires="x14">
        <oleObject progId="Equation.DSMT4" shapeId="9218" r:id="rId6">
          <objectPr defaultSize="0" autoPict="0" r:id="rId7">
            <anchor moveWithCells="1">
              <from>
                <xdr:col>7</xdr:col>
                <xdr:colOff>330200</xdr:colOff>
                <xdr:row>23</xdr:row>
                <xdr:rowOff>95250</xdr:rowOff>
              </from>
              <to>
                <xdr:col>11</xdr:col>
                <xdr:colOff>76200</xdr:colOff>
                <xdr:row>25</xdr:row>
                <xdr:rowOff>114300</xdr:rowOff>
              </to>
            </anchor>
          </objectPr>
        </oleObject>
      </mc:Choice>
      <mc:Fallback>
        <oleObject progId="Equation.DSMT4" shapeId="9218" r:id="rId6"/>
      </mc:Fallback>
    </mc:AlternateContent>
    <mc:AlternateContent xmlns:mc="http://schemas.openxmlformats.org/markup-compatibility/2006">
      <mc:Choice Requires="x14">
        <oleObject progId="Equation.DSMT4" shapeId="9219" r:id="rId8">
          <objectPr defaultSize="0" autoPict="0" r:id="rId9">
            <anchor moveWithCells="1">
              <from>
                <xdr:col>5</xdr:col>
                <xdr:colOff>622300</xdr:colOff>
                <xdr:row>33</xdr:row>
                <xdr:rowOff>152400</xdr:rowOff>
              </from>
              <to>
                <xdr:col>7</xdr:col>
                <xdr:colOff>450850</xdr:colOff>
                <xdr:row>36</xdr:row>
                <xdr:rowOff>114300</xdr:rowOff>
              </to>
            </anchor>
          </objectPr>
        </oleObject>
      </mc:Choice>
      <mc:Fallback>
        <oleObject progId="Equation.DSMT4" shapeId="9219" r:id="rId8"/>
      </mc:Fallback>
    </mc:AlternateContent>
    <mc:AlternateContent xmlns:mc="http://schemas.openxmlformats.org/markup-compatibility/2006">
      <mc:Choice Requires="x14">
        <oleObject progId="Equation.DSMT4" shapeId="9220" r:id="rId10">
          <objectPr defaultSize="0" autoPict="0" r:id="rId11">
            <anchor moveWithCells="1">
              <from>
                <xdr:col>5</xdr:col>
                <xdr:colOff>622300</xdr:colOff>
                <xdr:row>37</xdr:row>
                <xdr:rowOff>50800</xdr:rowOff>
              </from>
              <to>
                <xdr:col>7</xdr:col>
                <xdr:colOff>469900</xdr:colOff>
                <xdr:row>40</xdr:row>
                <xdr:rowOff>12700</xdr:rowOff>
              </to>
            </anchor>
          </objectPr>
        </oleObject>
      </mc:Choice>
      <mc:Fallback>
        <oleObject progId="Equation.DSMT4" shapeId="9220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732C-E4D3-4993-B27C-6EAE1929712B}">
  <dimension ref="A1:Z52"/>
  <sheetViews>
    <sheetView workbookViewId="0">
      <selection activeCell="M39" sqref="M39"/>
    </sheetView>
  </sheetViews>
  <sheetFormatPr baseColWidth="10" defaultColWidth="11.08984375" defaultRowHeight="13" x14ac:dyDescent="0.3"/>
  <cols>
    <col min="1" max="1" width="11.453125" style="80" customWidth="1"/>
    <col min="2" max="2" width="13.26953125" style="80" customWidth="1"/>
    <col min="3" max="3" width="10.54296875" style="80" customWidth="1"/>
    <col min="4" max="4" width="8.26953125" style="80" customWidth="1"/>
    <col min="5" max="5" width="7.7265625" style="80" customWidth="1"/>
    <col min="6" max="6" width="10.81640625" style="80"/>
    <col min="7" max="7" width="8.54296875" style="80" customWidth="1"/>
    <col min="8" max="8" width="7.36328125" style="80" customWidth="1"/>
    <col min="9" max="9" width="6.1796875" style="80" customWidth="1"/>
    <col min="10" max="10" width="7.26953125" style="80" customWidth="1"/>
    <col min="11" max="11" width="10.54296875" style="80" customWidth="1"/>
    <col min="12" max="14" width="9.36328125" style="80" customWidth="1"/>
    <col min="15" max="17" width="7.81640625" style="80" customWidth="1"/>
    <col min="18" max="18" width="7.36328125" style="80" customWidth="1"/>
    <col min="19" max="19" width="7.7265625" style="80" customWidth="1"/>
    <col min="20" max="25" width="8.54296875" style="80" customWidth="1"/>
    <col min="26" max="26" width="7.6328125" style="80" customWidth="1"/>
    <col min="27" max="16384" width="11.08984375" style="80"/>
  </cols>
  <sheetData>
    <row r="1" spans="1:25" ht="15.5" x14ac:dyDescent="0.35">
      <c r="A1" s="155" t="s">
        <v>206</v>
      </c>
    </row>
    <row r="2" spans="1:25" x14ac:dyDescent="0.3">
      <c r="A2" s="81"/>
      <c r="B2" s="81"/>
      <c r="C2" s="81"/>
      <c r="D2" s="81"/>
      <c r="E2" s="81"/>
      <c r="F2" s="81"/>
      <c r="G2" s="81"/>
      <c r="H2" s="81"/>
      <c r="I2" s="81"/>
    </row>
    <row r="3" spans="1:25" x14ac:dyDescent="0.3">
      <c r="A3" s="82" t="s">
        <v>0</v>
      </c>
      <c r="B3" s="82" t="s">
        <v>1</v>
      </c>
      <c r="C3" s="83" t="s">
        <v>3</v>
      </c>
      <c r="D3" s="84"/>
      <c r="E3" s="85"/>
      <c r="F3" s="83" t="s">
        <v>4</v>
      </c>
      <c r="G3" s="84"/>
      <c r="H3" s="85"/>
      <c r="I3" s="81"/>
      <c r="J3" s="80" t="s">
        <v>170</v>
      </c>
    </row>
    <row r="4" spans="1:25" x14ac:dyDescent="0.3">
      <c r="A4" s="86" t="s">
        <v>5</v>
      </c>
      <c r="B4" s="86" t="s">
        <v>67</v>
      </c>
      <c r="C4" s="82"/>
      <c r="D4" s="82"/>
      <c r="E4" s="82"/>
      <c r="F4" s="82"/>
      <c r="G4" s="82"/>
      <c r="H4" s="82"/>
      <c r="I4" s="87"/>
    </row>
    <row r="5" spans="1:25" x14ac:dyDescent="0.3">
      <c r="A5" s="88" t="s">
        <v>8</v>
      </c>
      <c r="B5" s="88" t="s">
        <v>41</v>
      </c>
      <c r="C5" s="88" t="s">
        <v>44</v>
      </c>
      <c r="D5" s="88" t="s">
        <v>139</v>
      </c>
      <c r="E5" s="88" t="s">
        <v>140</v>
      </c>
      <c r="F5" s="88" t="s">
        <v>44</v>
      </c>
      <c r="G5" s="88" t="s">
        <v>139</v>
      </c>
      <c r="H5" s="88" t="s">
        <v>140</v>
      </c>
      <c r="I5" s="86"/>
      <c r="J5" s="89" t="s">
        <v>1</v>
      </c>
      <c r="K5" s="90"/>
      <c r="L5" s="83" t="s">
        <v>3</v>
      </c>
      <c r="M5" s="84"/>
      <c r="N5" s="84"/>
      <c r="O5" s="84"/>
      <c r="P5" s="85"/>
      <c r="Q5" s="85"/>
      <c r="R5" s="89" t="s">
        <v>1</v>
      </c>
      <c r="S5" s="90"/>
      <c r="T5" s="83" t="s">
        <v>4</v>
      </c>
      <c r="U5" s="84"/>
      <c r="V5" s="84"/>
      <c r="W5" s="84"/>
      <c r="X5" s="85"/>
      <c r="Y5" s="85"/>
    </row>
    <row r="6" spans="1:25" x14ac:dyDescent="0.3">
      <c r="A6" s="91" t="s">
        <v>79</v>
      </c>
      <c r="B6" s="91" t="s">
        <v>48</v>
      </c>
      <c r="C6" s="92">
        <v>1952300</v>
      </c>
      <c r="D6" s="93">
        <v>0</v>
      </c>
      <c r="E6" s="92">
        <v>362</v>
      </c>
      <c r="F6" s="92">
        <v>1863417</v>
      </c>
      <c r="G6" s="92">
        <v>16</v>
      </c>
      <c r="H6" s="92">
        <v>235</v>
      </c>
      <c r="I6" s="92"/>
      <c r="J6" s="94" t="s">
        <v>149</v>
      </c>
      <c r="K6" s="94" t="s">
        <v>165</v>
      </c>
      <c r="L6" s="95" t="s">
        <v>150</v>
      </c>
      <c r="M6" s="135" t="s">
        <v>142</v>
      </c>
      <c r="N6" s="135" t="s">
        <v>151</v>
      </c>
      <c r="O6" s="95" t="s">
        <v>143</v>
      </c>
      <c r="P6" s="95" t="s">
        <v>144</v>
      </c>
      <c r="Q6" s="95" t="s">
        <v>154</v>
      </c>
      <c r="R6" s="94" t="s">
        <v>149</v>
      </c>
      <c r="S6" s="94" t="s">
        <v>165</v>
      </c>
      <c r="T6" s="95" t="s">
        <v>150</v>
      </c>
      <c r="U6" s="135" t="s">
        <v>142</v>
      </c>
      <c r="V6" s="135" t="s">
        <v>151</v>
      </c>
      <c r="W6" s="95" t="s">
        <v>143</v>
      </c>
      <c r="X6" s="95" t="s">
        <v>144</v>
      </c>
      <c r="Y6" s="95" t="s">
        <v>154</v>
      </c>
    </row>
    <row r="7" spans="1:25" x14ac:dyDescent="0.3">
      <c r="A7" s="91" t="s">
        <v>80</v>
      </c>
      <c r="B7" s="91" t="s">
        <v>49</v>
      </c>
      <c r="C7" s="92">
        <v>1977914</v>
      </c>
      <c r="D7" s="93">
        <v>992</v>
      </c>
      <c r="E7" s="92">
        <v>1420</v>
      </c>
      <c r="F7" s="92">
        <v>1891835</v>
      </c>
      <c r="G7" s="92">
        <v>6236</v>
      </c>
      <c r="H7" s="92">
        <v>547</v>
      </c>
      <c r="I7" s="92"/>
      <c r="J7" s="89">
        <v>15</v>
      </c>
      <c r="K7" s="128">
        <f>(D7+E7)/C7</f>
        <v>1.2194665693250565E-3</v>
      </c>
      <c r="L7" s="96">
        <f>(2*5*K7)/(2+5*K7)</f>
        <v>6.0788006113075763E-3</v>
      </c>
      <c r="M7" s="136">
        <f>L7*(D7/(D7+E7))</f>
        <v>2.5000705665079253E-3</v>
      </c>
      <c r="N7" s="136">
        <f t="shared" ref="N7:N17" si="0">L7*(E7/(D7+E7))</f>
        <v>3.578730044799651E-3</v>
      </c>
      <c r="O7" s="97">
        <v>10000</v>
      </c>
      <c r="P7" s="98">
        <f t="shared" ref="P7:P17" si="1">O7*M7</f>
        <v>25.000705665079252</v>
      </c>
      <c r="Q7" s="98">
        <f t="shared" ref="Q7:Q17" si="2">O7*N7</f>
        <v>35.787300447996508</v>
      </c>
      <c r="R7" s="89">
        <v>15</v>
      </c>
      <c r="S7" s="132">
        <f t="shared" ref="S7:S18" si="3">(G7+H7)/F7</f>
        <v>3.5854078183351085E-3</v>
      </c>
      <c r="T7" s="96">
        <f t="shared" ref="T7:T17" si="4">(2*5*S7)/(2+5*S7)</f>
        <v>1.7767777272804666E-2</v>
      </c>
      <c r="U7" s="136">
        <f t="shared" ref="U7:U17" si="5">T7*(G7/(G7+H7))</f>
        <v>1.6334934258176309E-2</v>
      </c>
      <c r="V7" s="136">
        <f t="shared" ref="V7:V17" si="6">T7*(H7/(G7+H7))</f>
        <v>1.4328430146283578E-3</v>
      </c>
      <c r="W7" s="97">
        <v>10000</v>
      </c>
      <c r="X7" s="98">
        <f t="shared" ref="X7:X17" si="7">W7*U7</f>
        <v>163.3493425817631</v>
      </c>
      <c r="Y7" s="98">
        <f t="shared" ref="Y7:Y17" si="8">W7*V7</f>
        <v>14.328430146283578</v>
      </c>
    </row>
    <row r="8" spans="1:25" x14ac:dyDescent="0.3">
      <c r="A8" s="91" t="s">
        <v>81</v>
      </c>
      <c r="B8" s="91" t="s">
        <v>50</v>
      </c>
      <c r="C8" s="92">
        <v>1914972</v>
      </c>
      <c r="D8" s="93">
        <v>29152</v>
      </c>
      <c r="E8" s="92">
        <v>1935</v>
      </c>
      <c r="F8" s="92">
        <v>1785031</v>
      </c>
      <c r="G8" s="92">
        <v>61484</v>
      </c>
      <c r="H8" s="92">
        <v>605</v>
      </c>
      <c r="I8" s="92"/>
      <c r="J8" s="99">
        <f t="shared" ref="J8:J18" si="9">J7+5</f>
        <v>20</v>
      </c>
      <c r="K8" s="129">
        <f>(D8+E8)/C8</f>
        <v>1.6233657724499365E-2</v>
      </c>
      <c r="L8" s="100">
        <f t="shared" ref="L8:L17" si="10">(2*5*K8)/(2+5*K8)</f>
        <v>7.8002619073367918E-2</v>
      </c>
      <c r="M8" s="137">
        <f t="shared" ref="M8:M17" si="11">L8*(D8/(D8+E8))</f>
        <v>7.3147371931251703E-2</v>
      </c>
      <c r="N8" s="137">
        <f t="shared" si="0"/>
        <v>4.8552471421162199E-3</v>
      </c>
      <c r="O8" s="101">
        <f t="shared" ref="O8:O18" si="12">O7-P7-Q7</f>
        <v>9939.2119938869237</v>
      </c>
      <c r="P8" s="101">
        <f t="shared" si="1"/>
        <v>727.02723642040462</v>
      </c>
      <c r="Q8" s="101">
        <f t="shared" si="2"/>
        <v>48.257330628206745</v>
      </c>
      <c r="R8" s="99">
        <f t="shared" ref="R8:R18" si="13">R7+5</f>
        <v>20</v>
      </c>
      <c r="S8" s="133">
        <f t="shared" si="3"/>
        <v>3.4783149424295716E-2</v>
      </c>
      <c r="T8" s="100">
        <f t="shared" si="4"/>
        <v>0.16000228836077351</v>
      </c>
      <c r="U8" s="137">
        <f t="shared" si="5"/>
        <v>0.15844321373470019</v>
      </c>
      <c r="V8" s="137">
        <f t="shared" si="6"/>
        <v>1.5590746260733461E-3</v>
      </c>
      <c r="W8" s="101">
        <f t="shared" ref="W8:W18" si="14">W7-X7-Y7</f>
        <v>9822.322227271954</v>
      </c>
      <c r="X8" s="101">
        <f t="shared" si="7"/>
        <v>1556.2803000267465</v>
      </c>
      <c r="Y8" s="101">
        <f t="shared" si="8"/>
        <v>15.313733353655937</v>
      </c>
    </row>
    <row r="9" spans="1:25" x14ac:dyDescent="0.3">
      <c r="A9" s="91" t="s">
        <v>82</v>
      </c>
      <c r="B9" s="91" t="s">
        <v>51</v>
      </c>
      <c r="C9" s="92">
        <v>1561244</v>
      </c>
      <c r="D9" s="93">
        <v>100552</v>
      </c>
      <c r="E9" s="92">
        <v>1873</v>
      </c>
      <c r="F9" s="92">
        <v>1283917</v>
      </c>
      <c r="G9" s="92">
        <v>98530</v>
      </c>
      <c r="H9" s="92">
        <v>563</v>
      </c>
      <c r="I9" s="92"/>
      <c r="J9" s="99">
        <f t="shared" si="9"/>
        <v>25</v>
      </c>
      <c r="K9" s="129">
        <f t="shared" ref="K9:K18" si="15">(D9+E9)/C9</f>
        <v>6.5604735710753731E-2</v>
      </c>
      <c r="L9" s="100">
        <f t="shared" si="10"/>
        <v>0.28180441769178727</v>
      </c>
      <c r="M9" s="137">
        <f t="shared" si="11"/>
        <v>0.27665118679760403</v>
      </c>
      <c r="N9" s="137">
        <f t="shared" si="0"/>
        <v>5.1532308941832326E-3</v>
      </c>
      <c r="O9" s="101">
        <f t="shared" si="12"/>
        <v>9163.9274268383124</v>
      </c>
      <c r="P9" s="101">
        <f t="shared" si="1"/>
        <v>2535.2113983619329</v>
      </c>
      <c r="Q9" s="101">
        <f t="shared" si="2"/>
        <v>47.22383392803625</v>
      </c>
      <c r="R9" s="99">
        <f t="shared" si="13"/>
        <v>25</v>
      </c>
      <c r="S9" s="133">
        <f t="shared" si="3"/>
        <v>7.7180222709100355E-2</v>
      </c>
      <c r="T9" s="100">
        <f t="shared" si="4"/>
        <v>0.3234845831242722</v>
      </c>
      <c r="U9" s="137">
        <f t="shared" si="5"/>
        <v>0.32164669527852158</v>
      </c>
      <c r="V9" s="137">
        <f t="shared" si="6"/>
        <v>1.8378878457506105E-3</v>
      </c>
      <c r="W9" s="101">
        <f t="shared" si="14"/>
        <v>8250.7281938915512</v>
      </c>
      <c r="X9" s="101">
        <f t="shared" si="7"/>
        <v>2653.8194572065427</v>
      </c>
      <c r="Y9" s="101">
        <f t="shared" si="8"/>
        <v>15.163913066145168</v>
      </c>
    </row>
    <row r="10" spans="1:25" x14ac:dyDescent="0.3">
      <c r="A10" s="91" t="s">
        <v>83</v>
      </c>
      <c r="B10" s="91" t="s">
        <v>52</v>
      </c>
      <c r="C10" s="92">
        <v>1102304</v>
      </c>
      <c r="D10" s="93">
        <v>60845</v>
      </c>
      <c r="E10" s="92">
        <v>1836</v>
      </c>
      <c r="F10" s="92">
        <v>881384</v>
      </c>
      <c r="G10" s="92">
        <v>42914</v>
      </c>
      <c r="H10" s="92">
        <v>599</v>
      </c>
      <c r="I10" s="92"/>
      <c r="J10" s="99">
        <f t="shared" si="9"/>
        <v>30</v>
      </c>
      <c r="K10" s="129">
        <f t="shared" si="15"/>
        <v>5.6863623827909542E-2</v>
      </c>
      <c r="L10" s="100">
        <f t="shared" si="10"/>
        <v>0.24893040663411981</v>
      </c>
      <c r="M10" s="137">
        <f t="shared" si="11"/>
        <v>0.24163894308726758</v>
      </c>
      <c r="N10" s="137">
        <f t="shared" si="0"/>
        <v>7.2914635468522195E-3</v>
      </c>
      <c r="O10" s="101">
        <f t="shared" si="12"/>
        <v>6581.4921945483429</v>
      </c>
      <c r="P10" s="101">
        <f t="shared" si="1"/>
        <v>1590.3448178277629</v>
      </c>
      <c r="Q10" s="101">
        <f t="shared" si="2"/>
        <v>47.988710420441656</v>
      </c>
      <c r="R10" s="99">
        <f t="shared" si="13"/>
        <v>30</v>
      </c>
      <c r="S10" s="133">
        <f t="shared" si="3"/>
        <v>4.936894701968722E-2</v>
      </c>
      <c r="T10" s="100">
        <f t="shared" si="4"/>
        <v>0.21972567239954088</v>
      </c>
      <c r="U10" s="137">
        <f t="shared" si="5"/>
        <v>0.21670092858120327</v>
      </c>
      <c r="V10" s="137">
        <f t="shared" si="6"/>
        <v>3.0247438183376232E-3</v>
      </c>
      <c r="W10" s="101">
        <f t="shared" si="14"/>
        <v>5581.7448236188638</v>
      </c>
      <c r="X10" s="101">
        <f t="shared" si="7"/>
        <v>1209.5692863815325</v>
      </c>
      <c r="Y10" s="101">
        <f t="shared" si="8"/>
        <v>16.883348150779184</v>
      </c>
    </row>
    <row r="11" spans="1:25" x14ac:dyDescent="0.3">
      <c r="A11" s="91" t="s">
        <v>84</v>
      </c>
      <c r="B11" s="91" t="s">
        <v>53</v>
      </c>
      <c r="C11" s="92">
        <v>786356</v>
      </c>
      <c r="D11" s="93">
        <v>26549</v>
      </c>
      <c r="E11" s="92">
        <v>2238</v>
      </c>
      <c r="F11" s="92">
        <v>624155</v>
      </c>
      <c r="G11" s="92">
        <v>18195</v>
      </c>
      <c r="H11" s="92">
        <v>771</v>
      </c>
      <c r="I11" s="92"/>
      <c r="J11" s="99">
        <f t="shared" si="9"/>
        <v>35</v>
      </c>
      <c r="K11" s="129">
        <f t="shared" si="15"/>
        <v>3.6608101165375481E-2</v>
      </c>
      <c r="L11" s="100">
        <f t="shared" si="10"/>
        <v>0.16769318328112887</v>
      </c>
      <c r="M11" s="137">
        <f t="shared" si="11"/>
        <v>0.15465614072083544</v>
      </c>
      <c r="N11" s="137">
        <f t="shared" si="0"/>
        <v>1.3037042560293411E-2</v>
      </c>
      <c r="O11" s="101">
        <f t="shared" si="12"/>
        <v>4943.1586663001381</v>
      </c>
      <c r="P11" s="101">
        <f t="shared" si="1"/>
        <v>764.48984230073142</v>
      </c>
      <c r="Q11" s="101">
        <f t="shared" si="2"/>
        <v>64.444169914838113</v>
      </c>
      <c r="R11" s="99">
        <f t="shared" si="13"/>
        <v>35</v>
      </c>
      <c r="S11" s="133">
        <f t="shared" si="3"/>
        <v>3.0386682795139029E-2</v>
      </c>
      <c r="T11" s="100">
        <f t="shared" si="4"/>
        <v>0.14120642673139064</v>
      </c>
      <c r="U11" s="137">
        <f t="shared" si="5"/>
        <v>0.13546614649254732</v>
      </c>
      <c r="V11" s="137">
        <f t="shared" si="6"/>
        <v>5.7402802388433084E-3</v>
      </c>
      <c r="W11" s="101">
        <f t="shared" si="14"/>
        <v>4355.2921890865528</v>
      </c>
      <c r="X11" s="101">
        <f t="shared" si="7"/>
        <v>589.99464970464601</v>
      </c>
      <c r="Y11" s="101">
        <f t="shared" si="8"/>
        <v>25.000597687402152</v>
      </c>
    </row>
    <row r="12" spans="1:25" x14ac:dyDescent="0.3">
      <c r="A12" s="91" t="s">
        <v>85</v>
      </c>
      <c r="B12" s="91" t="s">
        <v>54</v>
      </c>
      <c r="C12" s="92">
        <v>533364</v>
      </c>
      <c r="D12" s="93">
        <v>11064</v>
      </c>
      <c r="E12" s="92">
        <v>2382</v>
      </c>
      <c r="F12" s="92">
        <v>409014</v>
      </c>
      <c r="G12" s="92">
        <v>7460</v>
      </c>
      <c r="H12" s="92">
        <v>752</v>
      </c>
      <c r="I12" s="92"/>
      <c r="J12" s="99">
        <f t="shared" si="9"/>
        <v>40</v>
      </c>
      <c r="K12" s="129">
        <f t="shared" si="15"/>
        <v>2.5209800436474902E-2</v>
      </c>
      <c r="L12" s="100">
        <f t="shared" si="10"/>
        <v>0.11857582026847557</v>
      </c>
      <c r="M12" s="137">
        <f t="shared" si="11"/>
        <v>9.7569751260628723E-2</v>
      </c>
      <c r="N12" s="137">
        <f t="shared" si="0"/>
        <v>2.1006069007846854E-2</v>
      </c>
      <c r="O12" s="101">
        <f t="shared" si="12"/>
        <v>4114.2246540845681</v>
      </c>
      <c r="P12" s="101">
        <f t="shared" si="1"/>
        <v>401.42387612937756</v>
      </c>
      <c r="Q12" s="101">
        <f t="shared" si="2"/>
        <v>86.423686997485291</v>
      </c>
      <c r="R12" s="99">
        <f t="shared" si="13"/>
        <v>40</v>
      </c>
      <c r="S12" s="133">
        <f t="shared" si="3"/>
        <v>2.0077552357621011E-2</v>
      </c>
      <c r="T12" s="100">
        <f t="shared" si="4"/>
        <v>9.5589741679548548E-2</v>
      </c>
      <c r="U12" s="137">
        <f t="shared" si="5"/>
        <v>8.6836272884733584E-2</v>
      </c>
      <c r="V12" s="137">
        <f t="shared" si="6"/>
        <v>8.7534687948149677E-3</v>
      </c>
      <c r="W12" s="101">
        <f t="shared" si="14"/>
        <v>3740.2969416945048</v>
      </c>
      <c r="X12" s="101">
        <f t="shared" si="7"/>
        <v>324.79344589891849</v>
      </c>
      <c r="Y12" s="101">
        <f t="shared" si="8"/>
        <v>32.740572562464706</v>
      </c>
    </row>
    <row r="13" spans="1:25" x14ac:dyDescent="0.3">
      <c r="A13" s="91" t="s">
        <v>86</v>
      </c>
      <c r="B13" s="91" t="s">
        <v>55</v>
      </c>
      <c r="C13" s="92">
        <v>347470</v>
      </c>
      <c r="D13" s="93">
        <v>4500</v>
      </c>
      <c r="E13" s="92">
        <v>2647</v>
      </c>
      <c r="F13" s="92">
        <v>269616</v>
      </c>
      <c r="G13" s="92">
        <v>2933</v>
      </c>
      <c r="H13" s="92">
        <v>835</v>
      </c>
      <c r="I13" s="92"/>
      <c r="J13" s="99">
        <f t="shared" si="9"/>
        <v>45</v>
      </c>
      <c r="K13" s="129">
        <f t="shared" si="15"/>
        <v>2.0568682188390364E-2</v>
      </c>
      <c r="L13" s="100">
        <f t="shared" si="10"/>
        <v>9.7813665446333881E-2</v>
      </c>
      <c r="M13" s="137">
        <f t="shared" si="11"/>
        <v>6.1586888835665661E-2</v>
      </c>
      <c r="N13" s="137">
        <f t="shared" si="0"/>
        <v>3.622677661066822E-2</v>
      </c>
      <c r="O13" s="101">
        <f t="shared" si="12"/>
        <v>3626.3770909577051</v>
      </c>
      <c r="P13" s="101">
        <f t="shared" si="1"/>
        <v>223.33728277701681</v>
      </c>
      <c r="Q13" s="101">
        <f t="shared" si="2"/>
        <v>131.37195278016966</v>
      </c>
      <c r="R13" s="99">
        <f t="shared" si="13"/>
        <v>45</v>
      </c>
      <c r="S13" s="133">
        <f t="shared" si="3"/>
        <v>1.397543172512017E-2</v>
      </c>
      <c r="T13" s="100">
        <f t="shared" si="4"/>
        <v>6.7518169698533512E-2</v>
      </c>
      <c r="U13" s="137">
        <f t="shared" si="5"/>
        <v>5.2555942602388217E-2</v>
      </c>
      <c r="V13" s="137">
        <f t="shared" si="6"/>
        <v>1.4962227096145298E-2</v>
      </c>
      <c r="W13" s="101">
        <f t="shared" si="14"/>
        <v>3382.7629232331215</v>
      </c>
      <c r="X13" s="101">
        <f t="shared" si="7"/>
        <v>177.7842940309269</v>
      </c>
      <c r="Y13" s="101">
        <f t="shared" si="8"/>
        <v>50.613667069834285</v>
      </c>
    </row>
    <row r="14" spans="1:25" x14ac:dyDescent="0.3">
      <c r="A14" s="91" t="s">
        <v>87</v>
      </c>
      <c r="B14" s="91" t="s">
        <v>56</v>
      </c>
      <c r="C14" s="92">
        <v>241983</v>
      </c>
      <c r="D14" s="93">
        <v>2026</v>
      </c>
      <c r="E14" s="92">
        <v>2782</v>
      </c>
      <c r="F14" s="92">
        <v>195195</v>
      </c>
      <c r="G14" s="92">
        <v>1430</v>
      </c>
      <c r="H14" s="92">
        <v>870</v>
      </c>
      <c r="I14" s="92"/>
      <c r="J14" s="99">
        <f t="shared" si="9"/>
        <v>50</v>
      </c>
      <c r="K14" s="129">
        <f t="shared" si="15"/>
        <v>1.9869164362785817E-2</v>
      </c>
      <c r="L14" s="100">
        <f t="shared" si="10"/>
        <v>9.4644551442305824E-2</v>
      </c>
      <c r="M14" s="137">
        <f t="shared" si="11"/>
        <v>3.9881418723400917E-2</v>
      </c>
      <c r="N14" s="137">
        <f t="shared" si="0"/>
        <v>5.4763132718904914E-2</v>
      </c>
      <c r="O14" s="101">
        <f t="shared" si="12"/>
        <v>3271.6678554005189</v>
      </c>
      <c r="P14" s="101">
        <f t="shared" si="1"/>
        <v>130.47875566511917</v>
      </c>
      <c r="Q14" s="101">
        <f t="shared" si="2"/>
        <v>179.16678097747362</v>
      </c>
      <c r="R14" s="99">
        <f t="shared" si="13"/>
        <v>50</v>
      </c>
      <c r="S14" s="133">
        <f t="shared" si="3"/>
        <v>1.178308870616563E-2</v>
      </c>
      <c r="T14" s="100">
        <f t="shared" si="4"/>
        <v>5.7229590186369403E-2</v>
      </c>
      <c r="U14" s="137">
        <f t="shared" si="5"/>
        <v>3.5581875637612281E-2</v>
      </c>
      <c r="V14" s="137">
        <f t="shared" si="6"/>
        <v>2.1647714548757122E-2</v>
      </c>
      <c r="W14" s="101">
        <f t="shared" si="14"/>
        <v>3154.3649621323602</v>
      </c>
      <c r="X14" s="101">
        <f t="shared" si="7"/>
        <v>112.23822179823522</v>
      </c>
      <c r="Y14" s="101">
        <f t="shared" si="8"/>
        <v>68.284792282842403</v>
      </c>
    </row>
    <row r="15" spans="1:25" x14ac:dyDescent="0.3">
      <c r="A15" s="102" t="s">
        <v>88</v>
      </c>
      <c r="B15" s="102" t="s">
        <v>57</v>
      </c>
      <c r="C15" s="92">
        <v>134199</v>
      </c>
      <c r="D15" s="93">
        <v>686</v>
      </c>
      <c r="E15" s="92">
        <v>2106</v>
      </c>
      <c r="F15" s="92">
        <v>114012</v>
      </c>
      <c r="G15" s="92">
        <v>436</v>
      </c>
      <c r="H15" s="92">
        <v>715</v>
      </c>
      <c r="I15" s="92"/>
      <c r="J15" s="99">
        <f t="shared" si="9"/>
        <v>55</v>
      </c>
      <c r="K15" s="129">
        <f t="shared" si="15"/>
        <v>2.0804924030730483E-2</v>
      </c>
      <c r="L15" s="100">
        <f t="shared" si="10"/>
        <v>9.8881561705352783E-2</v>
      </c>
      <c r="M15" s="137">
        <f t="shared" si="11"/>
        <v>2.4295398040785104E-2</v>
      </c>
      <c r="N15" s="137">
        <f t="shared" si="0"/>
        <v>7.4586163664567676E-2</v>
      </c>
      <c r="O15" s="101">
        <f t="shared" si="12"/>
        <v>2962.0223187579263</v>
      </c>
      <c r="P15" s="101">
        <f t="shared" si="1"/>
        <v>71.963511239913075</v>
      </c>
      <c r="Q15" s="101">
        <f t="shared" si="2"/>
        <v>220.92588144498094</v>
      </c>
      <c r="R15" s="99">
        <f t="shared" si="13"/>
        <v>55</v>
      </c>
      <c r="S15" s="133">
        <f t="shared" si="3"/>
        <v>1.0095428551380556E-2</v>
      </c>
      <c r="T15" s="100">
        <f t="shared" si="4"/>
        <v>4.9234533469644411E-2</v>
      </c>
      <c r="U15" s="137">
        <f t="shared" si="5"/>
        <v>1.8650092608831419E-2</v>
      </c>
      <c r="V15" s="137">
        <f t="shared" si="6"/>
        <v>3.0584440860812991E-2</v>
      </c>
      <c r="W15" s="101">
        <f t="shared" si="14"/>
        <v>2973.8419480512825</v>
      </c>
      <c r="X15" s="101">
        <f t="shared" si="7"/>
        <v>55.462427735184058</v>
      </c>
      <c r="Y15" s="101">
        <f t="shared" si="8"/>
        <v>90.953293189579355</v>
      </c>
    </row>
    <row r="16" spans="1:25" x14ac:dyDescent="0.3">
      <c r="A16" s="102" t="s">
        <v>89</v>
      </c>
      <c r="B16" s="102" t="s">
        <v>58</v>
      </c>
      <c r="C16" s="92">
        <v>105503</v>
      </c>
      <c r="D16" s="93">
        <v>244</v>
      </c>
      <c r="E16" s="92">
        <v>2543</v>
      </c>
      <c r="F16" s="92">
        <v>87204</v>
      </c>
      <c r="G16" s="92">
        <v>253</v>
      </c>
      <c r="H16" s="92">
        <v>748</v>
      </c>
      <c r="I16" s="92"/>
      <c r="J16" s="99">
        <f t="shared" si="9"/>
        <v>60</v>
      </c>
      <c r="K16" s="129">
        <f t="shared" si="15"/>
        <v>2.6416310436670046E-2</v>
      </c>
      <c r="L16" s="100">
        <f t="shared" si="10"/>
        <v>0.12389915577862638</v>
      </c>
      <c r="M16" s="137">
        <f t="shared" si="11"/>
        <v>1.0847288844630367E-2</v>
      </c>
      <c r="N16" s="137">
        <f t="shared" si="0"/>
        <v>0.11305186693399602</v>
      </c>
      <c r="O16" s="101">
        <f t="shared" si="12"/>
        <v>2669.1329260730322</v>
      </c>
      <c r="P16" s="101">
        <f t="shared" si="1"/>
        <v>28.952855813827615</v>
      </c>
      <c r="Q16" s="101">
        <f t="shared" si="2"/>
        <v>301.75046038755585</v>
      </c>
      <c r="R16" s="99">
        <f t="shared" si="13"/>
        <v>60</v>
      </c>
      <c r="S16" s="133">
        <f t="shared" si="3"/>
        <v>1.1478831246273106E-2</v>
      </c>
      <c r="T16" s="100">
        <f t="shared" si="4"/>
        <v>5.5793058474023619E-2</v>
      </c>
      <c r="U16" s="137">
        <f t="shared" si="5"/>
        <v>1.4101542251676299E-2</v>
      </c>
      <c r="V16" s="137">
        <f t="shared" si="6"/>
        <v>4.1691516222347319E-2</v>
      </c>
      <c r="W16" s="101">
        <f t="shared" si="14"/>
        <v>2827.4262271265193</v>
      </c>
      <c r="X16" s="101">
        <f t="shared" si="7"/>
        <v>39.871070405322321</v>
      </c>
      <c r="Y16" s="101">
        <f t="shared" si="8"/>
        <v>117.87968641573555</v>
      </c>
    </row>
    <row r="17" spans="1:25" x14ac:dyDescent="0.3">
      <c r="A17" s="102" t="s">
        <v>90</v>
      </c>
      <c r="B17" s="102" t="s">
        <v>59</v>
      </c>
      <c r="C17" s="92">
        <v>106286</v>
      </c>
      <c r="D17" s="93">
        <v>244</v>
      </c>
      <c r="E17" s="92">
        <v>3626</v>
      </c>
      <c r="F17" s="92">
        <v>93411</v>
      </c>
      <c r="G17" s="92">
        <v>133</v>
      </c>
      <c r="H17" s="92">
        <v>1127</v>
      </c>
      <c r="I17" s="92"/>
      <c r="J17" s="99">
        <f t="shared" si="9"/>
        <v>65</v>
      </c>
      <c r="K17" s="129">
        <f t="shared" si="15"/>
        <v>3.6411192443031065E-2</v>
      </c>
      <c r="L17" s="100">
        <f t="shared" si="10"/>
        <v>0.16686644647769508</v>
      </c>
      <c r="M17" s="137">
        <f t="shared" si="11"/>
        <v>1.0520778537611781E-2</v>
      </c>
      <c r="N17" s="137">
        <f t="shared" si="0"/>
        <v>0.15634566794008328</v>
      </c>
      <c r="O17" s="101">
        <f t="shared" si="12"/>
        <v>2338.4296098716486</v>
      </c>
      <c r="P17" s="101">
        <f t="shared" si="1"/>
        <v>24.602100051253533</v>
      </c>
      <c r="Q17" s="101">
        <f t="shared" si="2"/>
        <v>365.6033392862513</v>
      </c>
      <c r="R17" s="99">
        <f t="shared" si="13"/>
        <v>65</v>
      </c>
      <c r="S17" s="133">
        <f t="shared" si="3"/>
        <v>1.3488775411889392E-2</v>
      </c>
      <c r="T17" s="100">
        <f t="shared" si="4"/>
        <v>6.5243731941467056E-2</v>
      </c>
      <c r="U17" s="137">
        <f t="shared" si="5"/>
        <v>6.8868383715993001E-3</v>
      </c>
      <c r="V17" s="137">
        <f t="shared" si="6"/>
        <v>5.8356893569867757E-2</v>
      </c>
      <c r="W17" s="101">
        <f t="shared" si="14"/>
        <v>2669.6754703054612</v>
      </c>
      <c r="X17" s="101">
        <f t="shared" si="7"/>
        <v>18.385623468617059</v>
      </c>
      <c r="Y17" s="101">
        <f t="shared" si="8"/>
        <v>155.79396728670244</v>
      </c>
    </row>
    <row r="18" spans="1:25" ht="14.5" x14ac:dyDescent="0.35">
      <c r="A18" s="103" t="s">
        <v>122</v>
      </c>
      <c r="B18" s="103" t="s">
        <v>121</v>
      </c>
      <c r="C18" s="93">
        <v>215782</v>
      </c>
      <c r="D18" s="93">
        <v>227</v>
      </c>
      <c r="E18" s="93">
        <v>14558</v>
      </c>
      <c r="F18" s="93">
        <v>334282</v>
      </c>
      <c r="G18" s="92">
        <v>143</v>
      </c>
      <c r="H18" s="92">
        <v>18016</v>
      </c>
      <c r="I18" s="92"/>
      <c r="J18" s="94">
        <f t="shared" si="9"/>
        <v>70</v>
      </c>
      <c r="K18" s="130">
        <f t="shared" si="15"/>
        <v>6.8518226728828166E-2</v>
      </c>
      <c r="L18" s="104"/>
      <c r="M18" s="104"/>
      <c r="N18" s="104"/>
      <c r="O18" s="105">
        <f t="shared" si="12"/>
        <v>1948.2241705341435</v>
      </c>
      <c r="P18" s="115">
        <v>0</v>
      </c>
      <c r="Q18" s="116">
        <f>O18</f>
        <v>1948.2241705341435</v>
      </c>
      <c r="R18" s="94">
        <f t="shared" si="13"/>
        <v>70</v>
      </c>
      <c r="S18" s="134">
        <f t="shared" si="3"/>
        <v>5.4322398453999915E-2</v>
      </c>
      <c r="T18" s="104"/>
      <c r="U18" s="104"/>
      <c r="V18" s="105"/>
      <c r="W18" s="105">
        <f t="shared" si="14"/>
        <v>2495.4958795501416</v>
      </c>
      <c r="X18" s="115">
        <v>0</v>
      </c>
      <c r="Y18" s="116">
        <f>W18</f>
        <v>2495.4958795501416</v>
      </c>
    </row>
    <row r="19" spans="1:25" x14ac:dyDescent="0.3">
      <c r="A19" s="184" t="s">
        <v>10</v>
      </c>
      <c r="B19" s="184"/>
      <c r="C19" s="106">
        <f t="shared" ref="C19:H19" si="16">SUM(C6:C18)</f>
        <v>10979677</v>
      </c>
      <c r="D19" s="106">
        <f t="shared" si="16"/>
        <v>237081</v>
      </c>
      <c r="E19" s="106">
        <f t="shared" si="16"/>
        <v>40308</v>
      </c>
      <c r="F19" s="106">
        <f t="shared" si="16"/>
        <v>9832473</v>
      </c>
      <c r="G19" s="106">
        <f t="shared" si="16"/>
        <v>240163</v>
      </c>
      <c r="H19" s="106">
        <f t="shared" si="16"/>
        <v>26383</v>
      </c>
      <c r="I19" s="107"/>
      <c r="N19" s="108" t="s">
        <v>131</v>
      </c>
      <c r="O19" s="80">
        <f>O14/O7</f>
        <v>0.32716678554005191</v>
      </c>
      <c r="P19" s="109">
        <f>SUM(P7:P18)</f>
        <v>6522.8323822524189</v>
      </c>
      <c r="Q19" s="109">
        <f>SUM(Q7:Q18)</f>
        <v>3477.1676177475792</v>
      </c>
      <c r="V19" s="108" t="s">
        <v>131</v>
      </c>
      <c r="W19" s="80">
        <f>W14/W7</f>
        <v>0.31543649621323605</v>
      </c>
      <c r="X19" s="109">
        <f>SUM(X7:X18)</f>
        <v>6901.5481192384341</v>
      </c>
      <c r="Y19" s="109">
        <f>SUM(Y7:Y18)</f>
        <v>3098.4518807615664</v>
      </c>
    </row>
    <row r="20" spans="1:25" x14ac:dyDescent="0.3">
      <c r="N20" s="108" t="s">
        <v>145</v>
      </c>
      <c r="O20" s="80">
        <f>2.5+(SUMPRODUCT(J7:J13,P7:P13)/SUM(P7:P13))</f>
        <v>31.042391415431482</v>
      </c>
      <c r="P20" s="117" t="s">
        <v>197</v>
      </c>
      <c r="V20" s="108" t="s">
        <v>145</v>
      </c>
      <c r="W20" s="80">
        <f>2.5+(SUMPRODUCT(R7:R13,X7:X13)/SUM(X7:X13))</f>
        <v>29.141874995062224</v>
      </c>
    </row>
    <row r="21" spans="1:25" x14ac:dyDescent="0.3">
      <c r="C21" s="110"/>
      <c r="D21" s="110"/>
      <c r="E21" s="110"/>
      <c r="F21" s="110"/>
      <c r="G21" s="110"/>
      <c r="H21" s="110"/>
      <c r="I21" s="110"/>
      <c r="P21" s="109"/>
      <c r="Q21" s="109"/>
    </row>
    <row r="22" spans="1:25" x14ac:dyDescent="0.3">
      <c r="N22" s="80" t="s">
        <v>148</v>
      </c>
    </row>
    <row r="23" spans="1:25" x14ac:dyDescent="0.3">
      <c r="B23" s="111" t="s">
        <v>192</v>
      </c>
      <c r="O23" s="80" t="s">
        <v>146</v>
      </c>
      <c r="P23" s="112">
        <f>SUM(P14:P17)/O14</f>
        <v>7.8246702930904369E-2</v>
      </c>
    </row>
    <row r="24" spans="1:25" x14ac:dyDescent="0.3">
      <c r="B24" s="108" t="s">
        <v>171</v>
      </c>
      <c r="C24" s="80" t="s">
        <v>172</v>
      </c>
      <c r="O24" s="80" t="s">
        <v>147</v>
      </c>
      <c r="P24" s="113">
        <f>SUM(X14:X17)/W14</f>
        <v>7.1633227644847669E-2</v>
      </c>
    </row>
    <row r="25" spans="1:25" x14ac:dyDescent="0.3">
      <c r="B25" s="108" t="s">
        <v>173</v>
      </c>
      <c r="C25" s="80" t="s">
        <v>174</v>
      </c>
      <c r="N25" s="80" t="s">
        <v>152</v>
      </c>
    </row>
    <row r="26" spans="1:25" x14ac:dyDescent="0.3">
      <c r="B26" s="108" t="s">
        <v>175</v>
      </c>
      <c r="C26" s="80" t="s">
        <v>187</v>
      </c>
      <c r="O26" s="80" t="s">
        <v>146</v>
      </c>
      <c r="P26" s="112">
        <f>SUM(Q14:Q17)/O14</f>
        <v>0.32626981383034814</v>
      </c>
    </row>
    <row r="27" spans="1:25" x14ac:dyDescent="0.3">
      <c r="B27" s="108" t="s">
        <v>177</v>
      </c>
      <c r="C27" s="80" t="s">
        <v>188</v>
      </c>
      <c r="O27" s="80" t="s">
        <v>147</v>
      </c>
      <c r="P27" s="112">
        <f>SUM(Y14:Y17)/W14</f>
        <v>0.13724212143233105</v>
      </c>
    </row>
    <row r="28" spans="1:25" x14ac:dyDescent="0.3">
      <c r="B28" s="108" t="s">
        <v>179</v>
      </c>
      <c r="C28" s="80" t="s">
        <v>189</v>
      </c>
    </row>
    <row r="29" spans="1:25" x14ac:dyDescent="0.3">
      <c r="B29" s="108" t="s">
        <v>181</v>
      </c>
      <c r="C29" s="80" t="s">
        <v>182</v>
      </c>
      <c r="N29" s="80" t="s">
        <v>153</v>
      </c>
    </row>
    <row r="30" spans="1:25" x14ac:dyDescent="0.3">
      <c r="B30" s="108" t="s">
        <v>183</v>
      </c>
      <c r="C30" s="80" t="s">
        <v>184</v>
      </c>
      <c r="O30" s="80" t="s">
        <v>146</v>
      </c>
      <c r="P30" s="112">
        <f>O18/O14</f>
        <v>0.59548348323874734</v>
      </c>
    </row>
    <row r="31" spans="1:25" x14ac:dyDescent="0.3">
      <c r="O31" s="80" t="s">
        <v>147</v>
      </c>
      <c r="P31" s="112">
        <f>W18/W14</f>
        <v>0.79112465092282114</v>
      </c>
      <c r="Q31" s="109"/>
    </row>
    <row r="32" spans="1:25" x14ac:dyDescent="0.3">
      <c r="N32" s="109"/>
      <c r="O32" s="109"/>
    </row>
    <row r="33" spans="10:26" x14ac:dyDescent="0.3">
      <c r="J33" s="126" t="s">
        <v>210</v>
      </c>
    </row>
    <row r="34" spans="10:26" x14ac:dyDescent="0.3">
      <c r="J34" s="1" t="s">
        <v>167</v>
      </c>
    </row>
    <row r="36" spans="10:26" x14ac:dyDescent="0.3">
      <c r="K36" s="148" t="s">
        <v>3</v>
      </c>
      <c r="L36" s="149"/>
      <c r="M36" s="149"/>
      <c r="N36" s="149"/>
      <c r="O36" s="149"/>
      <c r="P36" s="149"/>
      <c r="Q36" s="149"/>
      <c r="R36" s="150"/>
      <c r="S36" s="151" t="s">
        <v>4</v>
      </c>
      <c r="T36" s="152"/>
      <c r="U36" s="152"/>
      <c r="V36" s="152"/>
      <c r="W36" s="152"/>
      <c r="X36" s="152"/>
      <c r="Y36" s="152"/>
      <c r="Z36" s="153"/>
    </row>
    <row r="37" spans="10:26" x14ac:dyDescent="0.3">
      <c r="J37" s="89" t="s">
        <v>1</v>
      </c>
      <c r="K37" s="138" t="s">
        <v>211</v>
      </c>
      <c r="L37" s="139"/>
      <c r="M37" s="141" t="s">
        <v>213</v>
      </c>
      <c r="N37" s="142"/>
      <c r="O37" s="143"/>
      <c r="P37" s="145" t="s">
        <v>217</v>
      </c>
      <c r="Q37" s="145"/>
      <c r="R37" s="145"/>
      <c r="S37" s="138" t="s">
        <v>211</v>
      </c>
      <c r="T37" s="139"/>
      <c r="U37" s="141" t="s">
        <v>213</v>
      </c>
      <c r="V37" s="142"/>
      <c r="W37" s="143"/>
      <c r="X37" s="144" t="s">
        <v>217</v>
      </c>
      <c r="Y37" s="142"/>
      <c r="Z37" s="143"/>
    </row>
    <row r="38" spans="10:26" ht="15" x14ac:dyDescent="0.4">
      <c r="J38" s="94" t="s">
        <v>149</v>
      </c>
      <c r="K38" s="135" t="s">
        <v>142</v>
      </c>
      <c r="L38" s="135" t="s">
        <v>151</v>
      </c>
      <c r="M38" s="95" t="s">
        <v>212</v>
      </c>
      <c r="N38" s="95" t="s">
        <v>143</v>
      </c>
      <c r="O38" s="95" t="s">
        <v>216</v>
      </c>
      <c r="P38" s="95" t="s">
        <v>214</v>
      </c>
      <c r="Q38" s="95" t="s">
        <v>143</v>
      </c>
      <c r="R38" s="95" t="s">
        <v>215</v>
      </c>
      <c r="S38" s="135" t="s">
        <v>142</v>
      </c>
      <c r="T38" s="135" t="s">
        <v>151</v>
      </c>
      <c r="U38" s="95" t="s">
        <v>212</v>
      </c>
      <c r="V38" s="95" t="s">
        <v>143</v>
      </c>
      <c r="W38" s="95" t="s">
        <v>216</v>
      </c>
      <c r="X38" s="95" t="s">
        <v>214</v>
      </c>
      <c r="Y38" s="95" t="s">
        <v>143</v>
      </c>
      <c r="Z38" s="95" t="s">
        <v>215</v>
      </c>
    </row>
    <row r="39" spans="10:26" x14ac:dyDescent="0.3">
      <c r="J39" s="89">
        <v>15</v>
      </c>
      <c r="K39" s="96">
        <f t="shared" ref="K39:K49" si="17">M7</f>
        <v>2.5000705665079253E-3</v>
      </c>
      <c r="L39" s="96">
        <f t="shared" ref="L39:L49" si="18">N7</f>
        <v>3.578730044799651E-3</v>
      </c>
      <c r="M39" s="96">
        <f>K39/(1-0.5*L39)</f>
        <v>2.5045521244762402E-3</v>
      </c>
      <c r="N39" s="97">
        <v>10000</v>
      </c>
      <c r="O39" s="98">
        <f>N39*M39</f>
        <v>25.045521244762401</v>
      </c>
      <c r="P39" s="165">
        <f>L39/(1-0.5*K39)</f>
        <v>3.5832091827053122E-3</v>
      </c>
      <c r="Q39" s="97">
        <v>10000</v>
      </c>
      <c r="R39" s="98">
        <f>Q39*P39</f>
        <v>35.832091827053119</v>
      </c>
      <c r="S39" s="96">
        <f>U7</f>
        <v>1.6334934258176309E-2</v>
      </c>
      <c r="T39" s="96">
        <f>V7</f>
        <v>1.4328430146283578E-3</v>
      </c>
      <c r="U39" s="96">
        <f>S39/(1-0.5*T39)</f>
        <v>1.6346645346474963E-2</v>
      </c>
      <c r="V39" s="97">
        <v>10000</v>
      </c>
      <c r="W39" s="98">
        <f>V39*U39</f>
        <v>163.46645346474963</v>
      </c>
      <c r="X39" s="96">
        <f>T39/(1-0.5*S39)</f>
        <v>1.444642081341008E-3</v>
      </c>
      <c r="Y39" s="97">
        <v>10000</v>
      </c>
      <c r="Z39" s="98">
        <f>Y39*X39</f>
        <v>14.44642081341008</v>
      </c>
    </row>
    <row r="40" spans="10:26" x14ac:dyDescent="0.3">
      <c r="J40" s="99">
        <f t="shared" ref="J40:J50" si="19">J39+5</f>
        <v>20</v>
      </c>
      <c r="K40" s="100">
        <f t="shared" si="17"/>
        <v>7.3147371931251703E-2</v>
      </c>
      <c r="L40" s="100">
        <f t="shared" si="18"/>
        <v>4.8552471421162199E-3</v>
      </c>
      <c r="M40" s="100">
        <f t="shared" ref="M40:M49" si="20">K40/(1-0.5*L40)</f>
        <v>7.3325378348086265E-2</v>
      </c>
      <c r="N40" s="101">
        <f>N39-O39</f>
        <v>9974.9544787552368</v>
      </c>
      <c r="O40" s="101">
        <f>N40*M40</f>
        <v>731.41731115966536</v>
      </c>
      <c r="P40" s="147">
        <f t="shared" ref="P40:P49" si="21">L40/(1-0.5*K40)</f>
        <v>5.0395625190936908E-3</v>
      </c>
      <c r="Q40" s="101">
        <f>Q39-R39</f>
        <v>9964.1679081729471</v>
      </c>
      <c r="R40" s="101">
        <f>Q40*P40</f>
        <v>50.215047123984569</v>
      </c>
      <c r="S40" s="100">
        <f t="shared" ref="S40:T40" si="22">U8</f>
        <v>0.15844321373470019</v>
      </c>
      <c r="T40" s="100">
        <f t="shared" si="22"/>
        <v>1.5590746260733461E-3</v>
      </c>
      <c r="U40" s="100">
        <f t="shared" ref="U40:U49" si="23">S40/(1-0.5*T40)</f>
        <v>0.15856682248944037</v>
      </c>
      <c r="V40" s="101">
        <f>V39-W39</f>
        <v>9836.5335465352509</v>
      </c>
      <c r="W40" s="101">
        <f>V40*U40</f>
        <v>1559.7478687848804</v>
      </c>
      <c r="X40" s="100">
        <f t="shared" ref="X40:X49" si="24">T40/(1-0.5*S40)</f>
        <v>1.6932137392680342E-3</v>
      </c>
      <c r="Y40" s="101">
        <f>Y39-Z39</f>
        <v>9985.5535791865896</v>
      </c>
      <c r="Z40" s="101">
        <f>Y40*X40</f>
        <v>16.907676514475828</v>
      </c>
    </row>
    <row r="41" spans="10:26" x14ac:dyDescent="0.3">
      <c r="J41" s="99">
        <f t="shared" si="19"/>
        <v>25</v>
      </c>
      <c r="K41" s="100">
        <f t="shared" si="17"/>
        <v>0.27665118679760403</v>
      </c>
      <c r="L41" s="100">
        <f t="shared" si="18"/>
        <v>5.1532308941832326E-3</v>
      </c>
      <c r="M41" s="100">
        <f t="shared" si="20"/>
        <v>0.27736585193619856</v>
      </c>
      <c r="N41" s="101">
        <f t="shared" ref="N41:N49" si="25">N40-O40</f>
        <v>9243.5371675955721</v>
      </c>
      <c r="O41" s="101">
        <f t="shared" ref="O41:O49" si="26">N41*M41</f>
        <v>2563.8415613940615</v>
      </c>
      <c r="P41" s="147">
        <f t="shared" si="21"/>
        <v>5.9804850355364703E-3</v>
      </c>
      <c r="Q41" s="101">
        <f t="shared" ref="Q41:Q49" si="27">Q40-R40</f>
        <v>9913.9528610489633</v>
      </c>
      <c r="R41" s="101">
        <f t="shared" ref="R41:R49" si="28">Q41*P41</f>
        <v>59.290246728517303</v>
      </c>
      <c r="S41" s="100">
        <f t="shared" ref="S41:T41" si="29">U9</f>
        <v>0.32164669527852158</v>
      </c>
      <c r="T41" s="100">
        <f t="shared" si="29"/>
        <v>1.8378878457506105E-3</v>
      </c>
      <c r="U41" s="100">
        <f t="shared" si="23"/>
        <v>0.32194254242139475</v>
      </c>
      <c r="V41" s="101">
        <f t="shared" ref="V41:V49" si="30">V40-W40</f>
        <v>8276.7856777503712</v>
      </c>
      <c r="W41" s="101">
        <f t="shared" ref="W41:W49" si="31">V41*U41</f>
        <v>2664.6494241719415</v>
      </c>
      <c r="X41" s="100">
        <f t="shared" si="24"/>
        <v>2.1901084123114433E-3</v>
      </c>
      <c r="Y41" s="101">
        <f t="shared" ref="Y41:Y49" si="32">Y40-Z40</f>
        <v>9968.6459026721132</v>
      </c>
      <c r="Z41" s="101">
        <f t="shared" ref="Z41:Z49" si="33">Y41*X41</f>
        <v>21.832415250796195</v>
      </c>
    </row>
    <row r="42" spans="10:26" x14ac:dyDescent="0.3">
      <c r="J42" s="99">
        <f t="shared" si="19"/>
        <v>30</v>
      </c>
      <c r="K42" s="100">
        <f t="shared" si="17"/>
        <v>0.24163894308726758</v>
      </c>
      <c r="L42" s="100">
        <f t="shared" si="18"/>
        <v>7.2914635468522195E-3</v>
      </c>
      <c r="M42" s="100">
        <f t="shared" si="20"/>
        <v>0.24252311732187828</v>
      </c>
      <c r="N42" s="101">
        <f t="shared" si="25"/>
        <v>6679.6956062015106</v>
      </c>
      <c r="O42" s="101">
        <f t="shared" si="26"/>
        <v>1619.9806011772439</v>
      </c>
      <c r="P42" s="147">
        <f t="shared" si="21"/>
        <v>8.2934770628443188E-3</v>
      </c>
      <c r="Q42" s="101">
        <f t="shared" si="27"/>
        <v>9854.6626143204467</v>
      </c>
      <c r="R42" s="101">
        <f t="shared" si="28"/>
        <v>81.729418353936055</v>
      </c>
      <c r="S42" s="100">
        <f t="shared" ref="S42:T42" si="34">U10</f>
        <v>0.21670092858120327</v>
      </c>
      <c r="T42" s="100">
        <f t="shared" si="34"/>
        <v>3.0247438183376232E-3</v>
      </c>
      <c r="U42" s="100">
        <f t="shared" si="23"/>
        <v>0.21702915738229883</v>
      </c>
      <c r="V42" s="101">
        <f t="shared" si="30"/>
        <v>5612.1362535784301</v>
      </c>
      <c r="W42" s="101">
        <f t="shared" si="31"/>
        <v>1217.997202228778</v>
      </c>
      <c r="X42" s="100">
        <f t="shared" si="24"/>
        <v>3.3923012318187668E-3</v>
      </c>
      <c r="Y42" s="101">
        <f t="shared" si="32"/>
        <v>9946.8134874213174</v>
      </c>
      <c r="Z42" s="101">
        <f t="shared" si="33"/>
        <v>33.742587646050858</v>
      </c>
    </row>
    <row r="43" spans="10:26" x14ac:dyDescent="0.3">
      <c r="J43" s="99">
        <f t="shared" si="19"/>
        <v>35</v>
      </c>
      <c r="K43" s="100">
        <f t="shared" si="17"/>
        <v>0.15465614072083544</v>
      </c>
      <c r="L43" s="100">
        <f t="shared" si="18"/>
        <v>1.3037042560293411E-2</v>
      </c>
      <c r="M43" s="100">
        <f t="shared" si="20"/>
        <v>0.15567088469542181</v>
      </c>
      <c r="N43" s="101">
        <f t="shared" si="25"/>
        <v>5059.7150050242672</v>
      </c>
      <c r="O43" s="101">
        <f t="shared" si="26"/>
        <v>787.65031113882833</v>
      </c>
      <c r="P43" s="147">
        <f t="shared" si="21"/>
        <v>1.4129662062425581E-2</v>
      </c>
      <c r="Q43" s="101">
        <f t="shared" si="27"/>
        <v>9772.9331959665105</v>
      </c>
      <c r="R43" s="101">
        <f t="shared" si="28"/>
        <v>138.0882434176676</v>
      </c>
      <c r="S43" s="100">
        <f t="shared" ref="S43:T43" si="35">U11</f>
        <v>0.13546614649254732</v>
      </c>
      <c r="T43" s="100">
        <f t="shared" si="35"/>
        <v>5.7402802388433084E-3</v>
      </c>
      <c r="U43" s="100">
        <f t="shared" si="23"/>
        <v>0.13585607245657197</v>
      </c>
      <c r="V43" s="101">
        <f t="shared" si="30"/>
        <v>4394.1390513496517</v>
      </c>
      <c r="W43" s="101">
        <f t="shared" si="31"/>
        <v>596.97047334441072</v>
      </c>
      <c r="X43" s="100">
        <f t="shared" si="24"/>
        <v>6.1573354949227945E-3</v>
      </c>
      <c r="Y43" s="101">
        <f t="shared" si="32"/>
        <v>9913.0708997752663</v>
      </c>
      <c r="Z43" s="101">
        <f t="shared" si="33"/>
        <v>61.038103314872494</v>
      </c>
    </row>
    <row r="44" spans="10:26" x14ac:dyDescent="0.3">
      <c r="J44" s="99">
        <f t="shared" si="19"/>
        <v>40</v>
      </c>
      <c r="K44" s="100">
        <f t="shared" si="17"/>
        <v>9.7569751260628723E-2</v>
      </c>
      <c r="L44" s="100">
        <f t="shared" si="18"/>
        <v>2.1006069007846854E-2</v>
      </c>
      <c r="M44" s="100">
        <f t="shared" si="20"/>
        <v>9.8605407255304603E-2</v>
      </c>
      <c r="N44" s="101">
        <f t="shared" si="25"/>
        <v>4272.0646938854388</v>
      </c>
      <c r="O44" s="101">
        <f t="shared" si="26"/>
        <v>421.2486789615819</v>
      </c>
      <c r="P44" s="147">
        <f t="shared" si="21"/>
        <v>2.2083405183203265E-2</v>
      </c>
      <c r="Q44" s="101">
        <f t="shared" si="27"/>
        <v>9634.8449525488431</v>
      </c>
      <c r="R44" s="101">
        <f t="shared" si="28"/>
        <v>212.77018496447695</v>
      </c>
      <c r="S44" s="100">
        <f t="shared" ref="S44:T44" si="36">U12</f>
        <v>8.6836272884733584E-2</v>
      </c>
      <c r="T44" s="100">
        <f t="shared" si="36"/>
        <v>8.7534687948149677E-3</v>
      </c>
      <c r="U44" s="100">
        <f t="shared" si="23"/>
        <v>8.7218002918178758E-2</v>
      </c>
      <c r="V44" s="101">
        <f t="shared" si="30"/>
        <v>3797.1685780052412</v>
      </c>
      <c r="W44" s="101">
        <f t="shared" si="31"/>
        <v>331.18146011727782</v>
      </c>
      <c r="X44" s="100">
        <f t="shared" si="24"/>
        <v>9.1507785462917463E-3</v>
      </c>
      <c r="Y44" s="101">
        <f t="shared" si="32"/>
        <v>9852.032796460393</v>
      </c>
      <c r="Z44" s="101">
        <f t="shared" si="33"/>
        <v>90.153770351212444</v>
      </c>
    </row>
    <row r="45" spans="10:26" x14ac:dyDescent="0.3">
      <c r="J45" s="99">
        <f t="shared" si="19"/>
        <v>45</v>
      </c>
      <c r="K45" s="100">
        <f t="shared" si="17"/>
        <v>6.1586888835665661E-2</v>
      </c>
      <c r="L45" s="100">
        <f t="shared" si="18"/>
        <v>3.622677661066822E-2</v>
      </c>
      <c r="M45" s="100">
        <f t="shared" si="20"/>
        <v>6.2723015165031232E-2</v>
      </c>
      <c r="N45" s="101">
        <f t="shared" si="25"/>
        <v>3850.816014923857</v>
      </c>
      <c r="O45" s="101">
        <f t="shared" si="26"/>
        <v>241.53479130181421</v>
      </c>
      <c r="P45" s="147">
        <f t="shared" si="21"/>
        <v>3.7377766794930635E-2</v>
      </c>
      <c r="Q45" s="101">
        <f t="shared" si="27"/>
        <v>9422.0747675843668</v>
      </c>
      <c r="R45" s="101">
        <f t="shared" si="28"/>
        <v>352.1761133871687</v>
      </c>
      <c r="S45" s="100">
        <f t="shared" ref="S45:T45" si="37">U13</f>
        <v>5.2555942602388217E-2</v>
      </c>
      <c r="T45" s="100">
        <f t="shared" si="37"/>
        <v>1.4962227096145298E-2</v>
      </c>
      <c r="U45" s="100">
        <f t="shared" si="23"/>
        <v>5.2952083149033123E-2</v>
      </c>
      <c r="V45" s="101">
        <f t="shared" si="30"/>
        <v>3465.9871178879634</v>
      </c>
      <c r="W45" s="101">
        <f t="shared" si="31"/>
        <v>183.5312380598811</v>
      </c>
      <c r="X45" s="100">
        <f t="shared" si="24"/>
        <v>1.5366014791859508E-2</v>
      </c>
      <c r="Y45" s="101">
        <f t="shared" si="32"/>
        <v>9761.8790261091799</v>
      </c>
      <c r="Z45" s="101">
        <f t="shared" si="33"/>
        <v>150.00117751153675</v>
      </c>
    </row>
    <row r="46" spans="10:26" x14ac:dyDescent="0.3">
      <c r="J46" s="99">
        <f t="shared" si="19"/>
        <v>50</v>
      </c>
      <c r="K46" s="100">
        <f t="shared" si="17"/>
        <v>3.9881418723400917E-2</v>
      </c>
      <c r="L46" s="100">
        <f t="shared" si="18"/>
        <v>5.4763132718904914E-2</v>
      </c>
      <c r="M46" s="100">
        <f t="shared" si="20"/>
        <v>4.1004177325863811E-2</v>
      </c>
      <c r="N46" s="101">
        <f t="shared" si="25"/>
        <v>3609.2812236220429</v>
      </c>
      <c r="O46" s="101">
        <f t="shared" si="26"/>
        <v>147.99560731230898</v>
      </c>
      <c r="P46" s="147">
        <f t="shared" si="21"/>
        <v>5.5877367055250725E-2</v>
      </c>
      <c r="Q46" s="101">
        <f t="shared" si="27"/>
        <v>9069.8986541971972</v>
      </c>
      <c r="R46" s="101">
        <f t="shared" si="28"/>
        <v>506.80205625450134</v>
      </c>
      <c r="S46" s="100">
        <f t="shared" ref="S46:T46" si="38">U14</f>
        <v>3.5581875637612281E-2</v>
      </c>
      <c r="T46" s="100">
        <f t="shared" si="38"/>
        <v>2.1647714548757122E-2</v>
      </c>
      <c r="U46" s="100">
        <f t="shared" si="23"/>
        <v>3.5971223021582732E-2</v>
      </c>
      <c r="V46" s="101">
        <f t="shared" si="30"/>
        <v>3282.4558798280823</v>
      </c>
      <c r="W46" s="101">
        <f t="shared" si="31"/>
        <v>118.07395251180152</v>
      </c>
      <c r="X46" s="100">
        <f t="shared" si="24"/>
        <v>2.2039823681410546E-2</v>
      </c>
      <c r="Y46" s="101">
        <f t="shared" si="32"/>
        <v>9611.8778485976436</v>
      </c>
      <c r="Z46" s="101">
        <f t="shared" si="33"/>
        <v>211.84409303034781</v>
      </c>
    </row>
    <row r="47" spans="10:26" x14ac:dyDescent="0.3">
      <c r="J47" s="99">
        <f t="shared" si="19"/>
        <v>55</v>
      </c>
      <c r="K47" s="100">
        <f t="shared" si="17"/>
        <v>2.4295398040785104E-2</v>
      </c>
      <c r="L47" s="100">
        <f t="shared" si="18"/>
        <v>7.4586163664567676E-2</v>
      </c>
      <c r="M47" s="100">
        <f t="shared" si="20"/>
        <v>2.5236546639786927E-2</v>
      </c>
      <c r="N47" s="101">
        <f t="shared" si="25"/>
        <v>3461.285616309734</v>
      </c>
      <c r="O47" s="101">
        <f t="shared" si="26"/>
        <v>87.35089588962424</v>
      </c>
      <c r="P47" s="147">
        <f t="shared" si="21"/>
        <v>7.5503355704697989E-2</v>
      </c>
      <c r="Q47" s="101">
        <f t="shared" si="27"/>
        <v>8563.0965979426965</v>
      </c>
      <c r="R47" s="101">
        <f t="shared" si="28"/>
        <v>646.54252836815658</v>
      </c>
      <c r="S47" s="100">
        <f t="shared" ref="S47:T47" si="39">U15</f>
        <v>1.8650092608831419E-2</v>
      </c>
      <c r="T47" s="100">
        <f t="shared" si="39"/>
        <v>3.0584440860812991E-2</v>
      </c>
      <c r="U47" s="100">
        <f t="shared" si="23"/>
        <v>1.8939723028270579E-2</v>
      </c>
      <c r="V47" s="101">
        <f t="shared" si="30"/>
        <v>3164.3819273162808</v>
      </c>
      <c r="W47" s="101">
        <f t="shared" si="31"/>
        <v>59.9325172590354</v>
      </c>
      <c r="X47" s="100">
        <f t="shared" si="24"/>
        <v>3.0872326737162076E-2</v>
      </c>
      <c r="Y47" s="101">
        <f t="shared" si="32"/>
        <v>9400.0337555672959</v>
      </c>
      <c r="Z47" s="101">
        <f t="shared" si="33"/>
        <v>290.20091344222629</v>
      </c>
    </row>
    <row r="48" spans="10:26" x14ac:dyDescent="0.3">
      <c r="J48" s="99">
        <f t="shared" si="19"/>
        <v>60</v>
      </c>
      <c r="K48" s="100">
        <f t="shared" si="17"/>
        <v>1.0847288844630367E-2</v>
      </c>
      <c r="L48" s="100">
        <f t="shared" si="18"/>
        <v>0.11305186693399602</v>
      </c>
      <c r="M48" s="100">
        <f t="shared" si="20"/>
        <v>1.1497177537153786E-2</v>
      </c>
      <c r="N48" s="101">
        <f t="shared" si="25"/>
        <v>3373.9347204201099</v>
      </c>
      <c r="O48" s="101">
        <f t="shared" si="26"/>
        <v>38.790726479437325</v>
      </c>
      <c r="P48" s="147">
        <f t="shared" si="21"/>
        <v>0.11366836372088449</v>
      </c>
      <c r="Q48" s="101">
        <f t="shared" si="27"/>
        <v>7916.5540695745403</v>
      </c>
      <c r="R48" s="101">
        <f t="shared" si="28"/>
        <v>899.86174739644707</v>
      </c>
      <c r="S48" s="100">
        <f t="shared" ref="S48:T48" si="40">U16</f>
        <v>1.4101542251676299E-2</v>
      </c>
      <c r="T48" s="100">
        <f t="shared" si="40"/>
        <v>4.1691516222347319E-2</v>
      </c>
      <c r="U48" s="100">
        <f t="shared" si="23"/>
        <v>1.4401757811388203E-2</v>
      </c>
      <c r="V48" s="101">
        <f t="shared" si="30"/>
        <v>3104.4494100572456</v>
      </c>
      <c r="W48" s="101">
        <f t="shared" si="31"/>
        <v>44.709528541351432</v>
      </c>
      <c r="X48" s="100">
        <f t="shared" si="24"/>
        <v>4.1987560904416549E-2</v>
      </c>
      <c r="Y48" s="101">
        <f t="shared" si="32"/>
        <v>9109.8328421250699</v>
      </c>
      <c r="Z48" s="101">
        <f t="shared" si="33"/>
        <v>382.4996612877805</v>
      </c>
    </row>
    <row r="49" spans="10:26" x14ac:dyDescent="0.3">
      <c r="J49" s="99">
        <f t="shared" si="19"/>
        <v>65</v>
      </c>
      <c r="K49" s="100">
        <f t="shared" si="17"/>
        <v>1.0520778537611781E-2</v>
      </c>
      <c r="L49" s="100">
        <f t="shared" si="18"/>
        <v>0.15634566794008328</v>
      </c>
      <c r="M49" s="100">
        <f t="shared" si="20"/>
        <v>1.141296213141745E-2</v>
      </c>
      <c r="N49" s="101">
        <f t="shared" si="25"/>
        <v>3335.1439939406728</v>
      </c>
      <c r="O49" s="101">
        <f t="shared" si="26"/>
        <v>38.063872105669248</v>
      </c>
      <c r="P49" s="147">
        <f t="shared" si="21"/>
        <v>0.1571724562422519</v>
      </c>
      <c r="Q49" s="101">
        <f t="shared" si="27"/>
        <v>7016.6923221780935</v>
      </c>
      <c r="R49" s="101">
        <f t="shared" si="28"/>
        <v>1102.8307669728813</v>
      </c>
      <c r="S49" s="100">
        <f t="shared" ref="S49:T49" si="41">U17</f>
        <v>6.8868383715993001E-3</v>
      </c>
      <c r="T49" s="100">
        <f t="shared" si="41"/>
        <v>5.8356893569867757E-2</v>
      </c>
      <c r="U49" s="100">
        <f t="shared" si="23"/>
        <v>7.0938251718785841E-3</v>
      </c>
      <c r="V49" s="101">
        <f t="shared" si="30"/>
        <v>3059.739881515894</v>
      </c>
      <c r="W49" s="101">
        <f t="shared" si="31"/>
        <v>21.705259790898246</v>
      </c>
      <c r="X49" s="100">
        <f t="shared" si="24"/>
        <v>5.8558535153306973E-2</v>
      </c>
      <c r="Y49" s="101">
        <f t="shared" si="32"/>
        <v>8727.3331808372895</v>
      </c>
      <c r="Z49" s="101">
        <f t="shared" si="33"/>
        <v>511.05984686468281</v>
      </c>
    </row>
    <row r="50" spans="10:26" x14ac:dyDescent="0.3">
      <c r="J50" s="94">
        <f t="shared" si="19"/>
        <v>70</v>
      </c>
      <c r="K50" s="104"/>
      <c r="L50" s="140"/>
      <c r="M50" s="104"/>
      <c r="N50" s="104"/>
      <c r="O50" s="104"/>
      <c r="P50" s="104"/>
      <c r="Q50" s="104"/>
      <c r="R50" s="104"/>
      <c r="S50" s="104"/>
      <c r="T50" s="140"/>
      <c r="U50" s="104"/>
      <c r="V50" s="104"/>
      <c r="W50" s="104"/>
      <c r="X50" s="104"/>
      <c r="Y50" s="104"/>
      <c r="Z50" s="104"/>
    </row>
    <row r="51" spans="10:26" x14ac:dyDescent="0.3">
      <c r="M51" s="108" t="s">
        <v>131</v>
      </c>
      <c r="N51" s="80">
        <f>N46/N39</f>
        <v>0.36092812236220428</v>
      </c>
      <c r="O51" s="109">
        <f>SUM(O39:O50)</f>
        <v>6702.9198781649984</v>
      </c>
      <c r="P51" s="109"/>
      <c r="Q51" s="109"/>
      <c r="R51" s="109">
        <f>SUM(R39:R50)</f>
        <v>4086.1384447947903</v>
      </c>
      <c r="U51" s="108" t="s">
        <v>131</v>
      </c>
      <c r="V51" s="80">
        <f>V46/V39</f>
        <v>0.32824558798280823</v>
      </c>
      <c r="W51" s="109">
        <f>SUM(W39:W50)</f>
        <v>6961.9653782750056</v>
      </c>
      <c r="Z51" s="109">
        <f>SUM(Z39:Z50)</f>
        <v>1783.7266660273922</v>
      </c>
    </row>
    <row r="52" spans="10:26" x14ac:dyDescent="0.3">
      <c r="M52" s="108" t="s">
        <v>145</v>
      </c>
      <c r="N52" s="80">
        <f>2.5+SUMPRODUCT(J39:J45,O39:O45)/SUM(O39:O45)</f>
        <v>31.133126596856435</v>
      </c>
      <c r="U52" s="108" t="s">
        <v>145</v>
      </c>
      <c r="V52" s="80">
        <f>2.5+SUMPRODUCT(J39:J45,W39:W45)/SUM(W39:W45)</f>
        <v>29.176897587489847</v>
      </c>
    </row>
  </sheetData>
  <mergeCells count="1">
    <mergeCell ref="A19:B19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41" r:id="rId4">
          <objectPr defaultSize="0" r:id="rId5">
            <anchor moveWithCells="1">
              <from>
                <xdr:col>9</xdr:col>
                <xdr:colOff>38100</xdr:colOff>
                <xdr:row>23</xdr:row>
                <xdr:rowOff>95250</xdr:rowOff>
              </from>
              <to>
                <xdr:col>12</xdr:col>
                <xdr:colOff>196850</xdr:colOff>
                <xdr:row>26</xdr:row>
                <xdr:rowOff>38100</xdr:rowOff>
              </to>
            </anchor>
          </objectPr>
        </oleObject>
      </mc:Choice>
      <mc:Fallback>
        <oleObject progId="Equation.DSMT4" shapeId="10241" r:id="rId4"/>
      </mc:Fallback>
    </mc:AlternateContent>
    <mc:AlternateContent xmlns:mc="http://schemas.openxmlformats.org/markup-compatibility/2006">
      <mc:Choice Requires="x14">
        <oleObject progId="Equation.DSMT4" shapeId="10242" r:id="rId6">
          <objectPr defaultSize="0" r:id="rId7">
            <anchor moveWithCells="1">
              <from>
                <xdr:col>9</xdr:col>
                <xdr:colOff>31750</xdr:colOff>
                <xdr:row>26</xdr:row>
                <xdr:rowOff>139700</xdr:rowOff>
              </from>
              <to>
                <xdr:col>12</xdr:col>
                <xdr:colOff>228600</xdr:colOff>
                <xdr:row>29</xdr:row>
                <xdr:rowOff>82550</xdr:rowOff>
              </to>
            </anchor>
          </objectPr>
        </oleObject>
      </mc:Choice>
      <mc:Fallback>
        <oleObject progId="Equation.DSMT4" shapeId="1024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Ennocé</vt:lpstr>
      <vt:lpstr>Décès</vt:lpstr>
      <vt:lpstr>Population</vt:lpstr>
      <vt:lpstr>Mariages</vt:lpstr>
      <vt:lpstr>SMAM</vt:lpstr>
      <vt:lpstr>Table 1</vt:lpstr>
      <vt:lpstr>Table 2</vt:lpstr>
      <vt:lpstr>Table 3</vt:lpstr>
      <vt:lpstr>Table 3 (2-&gt;3)</vt:lpstr>
      <vt:lpstr>Comparaison 1-2-3</vt:lpstr>
    </vt:vector>
  </TitlesOfParts>
  <Company>INSEE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BNP6HUS</dc:creator>
  <cp:lastModifiedBy>Alexandre Avdeev</cp:lastModifiedBy>
  <cp:lastPrinted>2003-06-12T14:08:00Z</cp:lastPrinted>
  <dcterms:created xsi:type="dcterms:W3CDTF">1999-10-18T13:57:25Z</dcterms:created>
  <dcterms:modified xsi:type="dcterms:W3CDTF">2022-03-22T15:43:05Z</dcterms:modified>
</cp:coreProperties>
</file>