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At_use\2-Cours\1 - Demographie\T-6 Fecondite\"/>
    </mc:Choice>
  </mc:AlternateContent>
  <xr:revisionPtr revIDLastSave="0" documentId="13_ncr:1_{D031F5ED-845A-45B3-BB40-4D5EE98A8FC9}" xr6:coauthVersionLast="47" xr6:coauthVersionMax="47" xr10:uidLastSave="{00000000-0000-0000-0000-000000000000}"/>
  <bookViews>
    <workbookView xWindow="6917" yWindow="677" windowWidth="24686" windowHeight="13260" xr2:uid="{423A4192-F765-43A4-AEFE-83EE46BF7551}"/>
  </bookViews>
  <sheets>
    <sheet name="donnée pour le cour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H4" i="2"/>
  <c r="J4" i="2"/>
  <c r="K4" i="2"/>
  <c r="N4" i="2"/>
  <c r="A5" i="2"/>
  <c r="H5" i="2"/>
  <c r="J5" i="2"/>
  <c r="L5" i="2" s="1"/>
  <c r="Q5" i="2" s="1"/>
  <c r="R5" i="2" s="1"/>
  <c r="K5" i="2"/>
  <c r="N5" i="2"/>
  <c r="A6" i="2"/>
  <c r="H6" i="2"/>
  <c r="J6" i="2"/>
  <c r="K6" i="2"/>
  <c r="N6" i="2"/>
  <c r="A7" i="2"/>
  <c r="H7" i="2"/>
  <c r="J7" i="2"/>
  <c r="K7" i="2"/>
  <c r="N7" i="2"/>
  <c r="A8" i="2"/>
  <c r="H8" i="2"/>
  <c r="J8" i="2"/>
  <c r="L8" i="2" s="1"/>
  <c r="K8" i="2"/>
  <c r="N8" i="2"/>
  <c r="A9" i="2"/>
  <c r="H9" i="2"/>
  <c r="J9" i="2"/>
  <c r="L9" i="2" s="1"/>
  <c r="K9" i="2"/>
  <c r="N9" i="2"/>
  <c r="A10" i="2"/>
  <c r="H10" i="2"/>
  <c r="J10" i="2"/>
  <c r="L10" i="2" s="1"/>
  <c r="K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H45" i="2"/>
  <c r="H46" i="2"/>
  <c r="C47" i="2"/>
  <c r="E47" i="2" s="1"/>
  <c r="F47" i="2" s="1"/>
  <c r="D47" i="2"/>
  <c r="C48" i="2"/>
  <c r="D48" i="2"/>
  <c r="E48" i="2"/>
  <c r="F48" i="2" s="1"/>
  <c r="C51" i="2"/>
  <c r="C52" i="2" s="1"/>
  <c r="D51" i="2"/>
  <c r="D52" i="2" s="1"/>
  <c r="N11" i="2" l="1"/>
  <c r="L6" i="2"/>
  <c r="O6" i="2" s="1"/>
  <c r="K11" i="2"/>
  <c r="N10" i="2"/>
  <c r="L4" i="2"/>
  <c r="L7" i="2"/>
  <c r="Q7" i="2" s="1"/>
  <c r="R7" i="2" s="1"/>
  <c r="O5" i="2"/>
  <c r="L12" i="2"/>
  <c r="Q4" i="2"/>
  <c r="O7" i="2"/>
  <c r="O10" i="2"/>
  <c r="Q10" i="2"/>
  <c r="R10" i="2" s="1"/>
  <c r="O8" i="2"/>
  <c r="Q8" i="2"/>
  <c r="R8" i="2" s="1"/>
  <c r="O4" i="2"/>
  <c r="O9" i="2"/>
  <c r="Q9" i="2"/>
  <c r="R9" i="2" s="1"/>
  <c r="J11" i="2"/>
  <c r="K12" i="2" s="1"/>
  <c r="Q6" i="2" l="1"/>
  <c r="R6" i="2" s="1"/>
  <c r="R4" i="2"/>
  <c r="R11" i="2" s="1"/>
  <c r="R12" i="2" s="1"/>
  <c r="O11" i="2"/>
  <c r="O12" i="2" s="1"/>
  <c r="Q11" i="2" l="1"/>
</calcChain>
</file>

<file path=xl/sharedStrings.xml><?xml version="1.0" encoding="utf-8"?>
<sst xmlns="http://schemas.openxmlformats.org/spreadsheetml/2006/main" count="19" uniqueCount="19">
  <si>
    <t>Nombre de femmes par intervalle d'âge. 
France métropolitaine, 2017</t>
  </si>
  <si>
    <t>Frequence de naissances par intervalle d'âge des mères. 
France métropolitaine, 2017</t>
  </si>
  <si>
    <t>total</t>
  </si>
  <si>
    <t>Nombre de naissances de filles (population de table)</t>
  </si>
  <si>
    <t>Nombre de naissances (population de table)</t>
  </si>
  <si>
    <t>Population féminine de table de mortalité (So=10000)</t>
  </si>
  <si>
    <t>Nombre de naissances (population immortelle)</t>
  </si>
  <si>
    <t>Population immortelle exposée</t>
  </si>
  <si>
    <t>Population type (immortelle) au début de l'intervalle d'âge</t>
  </si>
  <si>
    <t>Taux de fécondité pour 1000</t>
  </si>
  <si>
    <t>Nombre de femmes (exposées)</t>
  </si>
  <si>
    <t>Nombre de naissances</t>
  </si>
  <si>
    <t>Intervalle d'âge</t>
  </si>
  <si>
    <t>pop_moy (F)</t>
  </si>
  <si>
    <t>naissances</t>
  </si>
  <si>
    <t>age révolu</t>
  </si>
  <si>
    <t>age centré</t>
  </si>
  <si>
    <t>France 2017</t>
  </si>
  <si>
    <t>Amplitude de l'intervalle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</si>
</sst>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4" fontId="0" fillId="0" borderId="0" xfId="0" applyNumberFormat="1"/>
    <xf numFmtId="2" fontId="0" fillId="0" borderId="0" xfId="0" applyNumberFormat="1"/>
    <xf numFmtId="165" fontId="0" fillId="0" borderId="1" xfId="0" applyNumberFormat="1" applyBorder="1"/>
    <xf numFmtId="0" fontId="0" fillId="0" borderId="1" xfId="0" applyBorder="1"/>
    <xf numFmtId="3" fontId="0" fillId="0" borderId="1" xfId="0" applyNumberFormat="1" applyBorder="1"/>
    <xf numFmtId="165" fontId="0" fillId="0" borderId="2" xfId="0" applyNumberFormat="1" applyBorder="1"/>
    <xf numFmtId="3" fontId="0" fillId="0" borderId="2" xfId="0" applyNumberFormat="1" applyBorder="1"/>
    <xf numFmtId="0" fontId="0" fillId="0" borderId="2" xfId="0" applyBorder="1"/>
    <xf numFmtId="2" fontId="0" fillId="0" borderId="2" xfId="0" applyNumberFormat="1" applyBorder="1"/>
    <xf numFmtId="165" fontId="0" fillId="0" borderId="3" xfId="0" applyNumberFormat="1" applyBorder="1"/>
    <xf numFmtId="3" fontId="0" fillId="0" borderId="3" xfId="0" applyNumberFormat="1" applyBorder="1"/>
    <xf numFmtId="0" fontId="0" fillId="0" borderId="3" xfId="0" applyBorder="1"/>
    <xf numFmtId="2" fontId="0" fillId="0" borderId="3" xfId="0" applyNumberFormat="1" applyBorder="1"/>
    <xf numFmtId="165" fontId="0" fillId="0" borderId="4" xfId="0" applyNumberFormat="1" applyBorder="1"/>
    <xf numFmtId="3" fontId="0" fillId="0" borderId="4" xfId="0" applyNumberFormat="1" applyBorder="1"/>
    <xf numFmtId="0" fontId="0" fillId="0" borderId="4" xfId="0" applyBorder="1"/>
    <xf numFmtId="2" fontId="0" fillId="0" borderId="4" xfId="0" applyNumberFormat="1" applyBorder="1"/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'donnée pour le cours'!$I$14</c:f>
          <c:strCache>
            <c:ptCount val="1"/>
            <c:pt idx="0">
              <c:v>Frequence de naissances par intervalle d'âge des mères. 
France métropolitaine, 2017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 pour le cours'!$H$4:$H$10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'donnée pour le cours'!$J$4:$J$10</c:f>
              <c:numCache>
                <c:formatCode>#,##0</c:formatCode>
                <c:ptCount val="7"/>
                <c:pt idx="0">
                  <c:v>12501</c:v>
                </c:pt>
                <c:pt idx="1">
                  <c:v>84402</c:v>
                </c:pt>
                <c:pt idx="2">
                  <c:v>222883</c:v>
                </c:pt>
                <c:pt idx="3">
                  <c:v>247604</c:v>
                </c:pt>
                <c:pt idx="4">
                  <c:v>130801</c:v>
                </c:pt>
                <c:pt idx="5">
                  <c:v>29870</c:v>
                </c:pt>
                <c:pt idx="6">
                  <c:v>1960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2-49CC-B88C-DF006136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-27"/>
        <c:axId val="1760990576"/>
        <c:axId val="1698646832"/>
      </c:barChart>
      <c:catAx>
        <c:axId val="1760990576"/>
        <c:scaling>
          <c:orientation val="minMax"/>
        </c:scaling>
        <c:delete val="0"/>
        <c:axPos val="b"/>
        <c:title>
          <c:tx>
            <c:strRef>
              <c:f>'donnée pour le cours'!$H$3</c:f>
              <c:strCache>
                <c:ptCount val="1"/>
                <c:pt idx="0">
                  <c:v>Intervalle d'âge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8646832"/>
        <c:crosses val="autoZero"/>
        <c:auto val="1"/>
        <c:lblAlgn val="ctr"/>
        <c:lblOffset val="100"/>
        <c:noMultiLvlLbl val="0"/>
      </c:catAx>
      <c:valAx>
        <c:axId val="169864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'donnée pour le cours'!$J$3</c:f>
              <c:strCache>
                <c:ptCount val="1"/>
                <c:pt idx="0">
                  <c:v>Nombre de naissances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99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'donnée pour le cours'!$I$15</c:f>
          <c:strCache>
            <c:ptCount val="1"/>
            <c:pt idx="0">
              <c:v>Nombre de femmes par intervalle d'âge. 
France métropolitaine, 2017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 pour le cours'!$H$4:$H$10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'donnée pour le cours'!$K$4:$K$10</c:f>
              <c:numCache>
                <c:formatCode>#,##0</c:formatCode>
                <c:ptCount val="7"/>
                <c:pt idx="0">
                  <c:v>1924553</c:v>
                </c:pt>
                <c:pt idx="1">
                  <c:v>1787600</c:v>
                </c:pt>
                <c:pt idx="2">
                  <c:v>1906032</c:v>
                </c:pt>
                <c:pt idx="3">
                  <c:v>2011783</c:v>
                </c:pt>
                <c:pt idx="4">
                  <c:v>2072822</c:v>
                </c:pt>
                <c:pt idx="5">
                  <c:v>2080585</c:v>
                </c:pt>
                <c:pt idx="6">
                  <c:v>2210607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8-4CAE-876A-CD91280B8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-27"/>
        <c:axId val="1760990576"/>
        <c:axId val="1698646832"/>
      </c:barChart>
      <c:catAx>
        <c:axId val="1760990576"/>
        <c:scaling>
          <c:orientation val="minMax"/>
        </c:scaling>
        <c:delete val="0"/>
        <c:axPos val="b"/>
        <c:title>
          <c:tx>
            <c:strRef>
              <c:f>'donnée pour le cours'!$H$3</c:f>
              <c:strCache>
                <c:ptCount val="1"/>
                <c:pt idx="0">
                  <c:v>Intervalle d'âge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8646832"/>
        <c:crosses val="autoZero"/>
        <c:auto val="1"/>
        <c:lblAlgn val="ctr"/>
        <c:lblOffset val="100"/>
        <c:noMultiLvlLbl val="0"/>
      </c:catAx>
      <c:valAx>
        <c:axId val="169864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'donnée pour le cours'!$K$3</c:f>
              <c:strCache>
                <c:ptCount val="1"/>
                <c:pt idx="0">
                  <c:v>Nombre de femmes (exposées)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99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'donnée pour le cours'!$I$14</c:f>
          <c:strCache>
            <c:ptCount val="1"/>
            <c:pt idx="0">
              <c:v>Frequence de naissances par intervalle d'âge des mères. 
France métropolitaine, 2017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 pour le cours'!$H$4:$H$10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'donnée pour le cours'!$K$4:$K$10</c:f>
              <c:numCache>
                <c:formatCode>#,##0</c:formatCode>
                <c:ptCount val="7"/>
                <c:pt idx="0">
                  <c:v>1924553</c:v>
                </c:pt>
                <c:pt idx="1">
                  <c:v>1787600</c:v>
                </c:pt>
                <c:pt idx="2">
                  <c:v>1906032</c:v>
                </c:pt>
                <c:pt idx="3">
                  <c:v>2011783</c:v>
                </c:pt>
                <c:pt idx="4">
                  <c:v>2072822</c:v>
                </c:pt>
                <c:pt idx="5">
                  <c:v>2080585</c:v>
                </c:pt>
                <c:pt idx="6">
                  <c:v>2210607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1-40C8-AB4C-10F774937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60990576"/>
        <c:axId val="1698646832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'donnée pour le cours'!$H$4:$H$10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'donnée pour le cours'!$J$4:$J$10</c:f>
              <c:numCache>
                <c:formatCode>#,##0</c:formatCode>
                <c:ptCount val="7"/>
                <c:pt idx="0">
                  <c:v>12501</c:v>
                </c:pt>
                <c:pt idx="1">
                  <c:v>84402</c:v>
                </c:pt>
                <c:pt idx="2">
                  <c:v>222883</c:v>
                </c:pt>
                <c:pt idx="3">
                  <c:v>247604</c:v>
                </c:pt>
                <c:pt idx="4">
                  <c:v>130801</c:v>
                </c:pt>
                <c:pt idx="5">
                  <c:v>29870</c:v>
                </c:pt>
                <c:pt idx="6">
                  <c:v>1960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61-40C8-AB4C-10F774937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644032"/>
        <c:axId val="1988959504"/>
      </c:lineChart>
      <c:catAx>
        <c:axId val="1760990576"/>
        <c:scaling>
          <c:orientation val="minMax"/>
        </c:scaling>
        <c:delete val="0"/>
        <c:axPos val="b"/>
        <c:title>
          <c:tx>
            <c:strRef>
              <c:f>'donnée pour le cours'!$H$3</c:f>
              <c:strCache>
                <c:ptCount val="1"/>
                <c:pt idx="0">
                  <c:v>Intervalle d'âge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8646832"/>
        <c:crosses val="autoZero"/>
        <c:auto val="1"/>
        <c:lblAlgn val="ctr"/>
        <c:lblOffset val="100"/>
        <c:noMultiLvlLbl val="0"/>
      </c:catAx>
      <c:valAx>
        <c:axId val="169864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'donnée pour le cours'!$K$3</c:f>
              <c:strCache>
                <c:ptCount val="1"/>
                <c:pt idx="0">
                  <c:v>Nombre de femmes (exposées)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990576"/>
        <c:crosses val="autoZero"/>
        <c:crossBetween val="between"/>
      </c:valAx>
      <c:valAx>
        <c:axId val="198895950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1644032"/>
        <c:crosses val="max"/>
        <c:crossBetween val="between"/>
      </c:valAx>
      <c:catAx>
        <c:axId val="195164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8959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'donnée pour le cours'!$I$14</c:f>
          <c:strCache>
            <c:ptCount val="1"/>
            <c:pt idx="0">
              <c:v>Frequence de naissances par intervalle d'âge des mères. 
France métropolitaine, 2017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 pour le cours'!$H$4:$H$10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'donnée pour le cours'!$J$4:$J$10</c:f>
              <c:numCache>
                <c:formatCode>#,##0</c:formatCode>
                <c:ptCount val="7"/>
                <c:pt idx="0">
                  <c:v>12501</c:v>
                </c:pt>
                <c:pt idx="1">
                  <c:v>84402</c:v>
                </c:pt>
                <c:pt idx="2">
                  <c:v>222883</c:v>
                </c:pt>
                <c:pt idx="3">
                  <c:v>247604</c:v>
                </c:pt>
                <c:pt idx="4">
                  <c:v>130801</c:v>
                </c:pt>
                <c:pt idx="5">
                  <c:v>29870</c:v>
                </c:pt>
                <c:pt idx="6">
                  <c:v>1960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B-417A-BCD3-DE95823AA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-27"/>
        <c:axId val="1760990576"/>
        <c:axId val="1698646832"/>
      </c:barChart>
      <c:catAx>
        <c:axId val="1760990576"/>
        <c:scaling>
          <c:orientation val="minMax"/>
        </c:scaling>
        <c:delete val="0"/>
        <c:axPos val="b"/>
        <c:title>
          <c:tx>
            <c:strRef>
              <c:f>'donnée pour le cours'!$H$3</c:f>
              <c:strCache>
                <c:ptCount val="1"/>
                <c:pt idx="0">
                  <c:v>Intervalle d'âge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8646832"/>
        <c:crosses val="autoZero"/>
        <c:auto val="1"/>
        <c:lblAlgn val="ctr"/>
        <c:lblOffset val="100"/>
        <c:noMultiLvlLbl val="0"/>
      </c:catAx>
      <c:valAx>
        <c:axId val="169864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'donnée pour le cours'!$J$3</c:f>
              <c:strCache>
                <c:ptCount val="1"/>
                <c:pt idx="0">
                  <c:v>Nombre de naissances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99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997779" y="4114801"/>
    <xdr:ext cx="4320000" cy="27000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CE41ECF-636B-4110-9754-BE6A07921D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860971" y="4087585"/>
    <xdr:ext cx="4320000" cy="2736000"/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B9E7112-C993-4F8C-9504-CD925CA7D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7</xdr:col>
      <xdr:colOff>0</xdr:colOff>
      <xdr:row>32</xdr:row>
      <xdr:rowOff>0</xdr:rowOff>
    </xdr:from>
    <xdr:to>
      <xdr:col>12</xdr:col>
      <xdr:colOff>653144</xdr:colOff>
      <xdr:row>46</xdr:row>
      <xdr:rowOff>152399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A71B9227-09E7-434F-BC5A-18EEBC1B0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absoluteAnchor>
    <xdr:pos x="13427528" y="4060371"/>
    <xdr:ext cx="4320000" cy="2700000"/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C7986A05-1703-47BA-89C8-89A22CF8A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3BDA2-A76F-44CF-914A-0FA7BCD0E059}">
  <dimension ref="A1:R52"/>
  <sheetViews>
    <sheetView tabSelected="1" workbookViewId="0">
      <selection activeCell="L7" sqref="L7"/>
    </sheetView>
  </sheetViews>
  <sheetFormatPr baseColWidth="10" defaultRowHeight="14.6" x14ac:dyDescent="0.4"/>
  <cols>
    <col min="6" max="7" width="7.07421875" customWidth="1"/>
    <col min="8" max="8" width="8.53515625" customWidth="1"/>
    <col min="9" max="9" width="9.53515625" customWidth="1"/>
    <col min="11" max="11" width="9.921875" customWidth="1"/>
    <col min="16" max="17" width="11.3046875" bestFit="1" customWidth="1"/>
  </cols>
  <sheetData>
    <row r="1" spans="1:18" x14ac:dyDescent="0.4">
      <c r="A1" t="s">
        <v>17</v>
      </c>
    </row>
    <row r="3" spans="1:18" ht="102" x14ac:dyDescent="0.4">
      <c r="A3" t="s">
        <v>16</v>
      </c>
      <c r="B3" t="s">
        <v>15</v>
      </c>
      <c r="C3" t="s">
        <v>14</v>
      </c>
      <c r="D3" t="s">
        <v>13</v>
      </c>
      <c r="H3" s="19" t="s">
        <v>12</v>
      </c>
      <c r="I3" s="19" t="s">
        <v>18</v>
      </c>
      <c r="J3" s="19" t="s">
        <v>11</v>
      </c>
      <c r="K3" s="19" t="s">
        <v>10</v>
      </c>
      <c r="L3" s="19" t="s">
        <v>9</v>
      </c>
      <c r="M3" s="19" t="s">
        <v>8</v>
      </c>
      <c r="N3" s="19" t="s">
        <v>7</v>
      </c>
      <c r="O3" s="19" t="s">
        <v>6</v>
      </c>
      <c r="P3" s="19" t="s">
        <v>5</v>
      </c>
      <c r="Q3" s="19" t="s">
        <v>4</v>
      </c>
      <c r="R3" s="19" t="s">
        <v>3</v>
      </c>
    </row>
    <row r="4" spans="1:18" x14ac:dyDescent="0.4">
      <c r="A4">
        <f t="shared" ref="A4:A45" si="0">B4+0.5</f>
        <v>12.5</v>
      </c>
      <c r="B4">
        <v>12</v>
      </c>
      <c r="C4">
        <v>0</v>
      </c>
      <c r="D4">
        <v>386860</v>
      </c>
      <c r="F4">
        <v>15</v>
      </c>
      <c r="G4">
        <v>-19</v>
      </c>
      <c r="H4" s="17" t="str">
        <f t="shared" ref="H4:H10" si="1">CONCATENATE(F4,G4)</f>
        <v>15-19</v>
      </c>
      <c r="I4" s="17"/>
      <c r="J4" s="16">
        <f>SUMIFS(C$4:C$46,$B$4:$B$46,"&lt;20",$B$4:$B$46,"&gt;14")</f>
        <v>12501</v>
      </c>
      <c r="K4" s="16">
        <f>SUMIFS(D$4:D$46,$B$4:$B$46,"&lt;20",$B$4:$B$46,"&gt;14")</f>
        <v>1924553</v>
      </c>
      <c r="L4" s="18">
        <f t="shared" ref="L4:L10" si="2">1000*J4/K4</f>
        <v>6.4955342877021316</v>
      </c>
      <c r="M4" s="16">
        <v>1000</v>
      </c>
      <c r="N4" s="17">
        <f t="shared" ref="N4:N9" si="3">0.5*(M4+M5)*5</f>
        <v>5000</v>
      </c>
      <c r="O4" s="15">
        <f t="shared" ref="O4:O10" si="4">N4*L4/1000</f>
        <v>32.477671438510654</v>
      </c>
      <c r="P4" s="16">
        <v>49757</v>
      </c>
      <c r="Q4" s="15">
        <f t="shared" ref="Q4:Q10" si="5">P4*L4/1000</f>
        <v>323.19829955319494</v>
      </c>
      <c r="R4" s="15">
        <f t="shared" ref="R4:R10" si="6">Q4*100/205</f>
        <v>157.65770709911948</v>
      </c>
    </row>
    <row r="5" spans="1:18" x14ac:dyDescent="0.4">
      <c r="A5">
        <f t="shared" si="0"/>
        <v>13.5</v>
      </c>
      <c r="B5">
        <v>13</v>
      </c>
      <c r="C5">
        <v>12</v>
      </c>
      <c r="D5">
        <v>385275</v>
      </c>
      <c r="F5">
        <v>20</v>
      </c>
      <c r="G5">
        <v>-24</v>
      </c>
      <c r="H5" s="13" t="str">
        <f t="shared" si="1"/>
        <v>20-24</v>
      </c>
      <c r="I5" s="13"/>
      <c r="J5" s="12">
        <f>SUMIFS(C$4:C$46,$B$4:$B$46,"&lt;25",$B$4:$B$46,"&gt;19")</f>
        <v>84402</v>
      </c>
      <c r="K5" s="12">
        <f>SUMIFS(D$4:D$46,$B$4:$B$46,"&lt;25",$B$4:$B$46,"&gt;19")</f>
        <v>1787600</v>
      </c>
      <c r="L5" s="14">
        <f t="shared" si="2"/>
        <v>47.215260684716938</v>
      </c>
      <c r="M5" s="12">
        <v>1000</v>
      </c>
      <c r="N5" s="13">
        <f t="shared" si="3"/>
        <v>5000</v>
      </c>
      <c r="O5" s="11">
        <f t="shared" si="4"/>
        <v>236.0763034235847</v>
      </c>
      <c r="P5" s="12">
        <v>49714</v>
      </c>
      <c r="Q5" s="11">
        <f t="shared" si="5"/>
        <v>2347.2594696800179</v>
      </c>
      <c r="R5" s="11">
        <f t="shared" si="6"/>
        <v>1145.0046193561063</v>
      </c>
    </row>
    <row r="6" spans="1:18" x14ac:dyDescent="0.4">
      <c r="A6">
        <f t="shared" si="0"/>
        <v>14.5</v>
      </c>
      <c r="B6">
        <v>14</v>
      </c>
      <c r="C6">
        <v>80</v>
      </c>
      <c r="D6">
        <v>384893</v>
      </c>
      <c r="F6">
        <v>25</v>
      </c>
      <c r="G6">
        <v>-29</v>
      </c>
      <c r="H6" s="13" t="str">
        <f t="shared" si="1"/>
        <v>25-29</v>
      </c>
      <c r="I6" s="13"/>
      <c r="J6" s="12">
        <f>SUMIFS(C$4:C$46,$B$4:$B$46,"&lt;30",$B$4:$B$46,"&gt;24")</f>
        <v>222883</v>
      </c>
      <c r="K6" s="12">
        <f>SUMIFS(D$4:D$46,$B$4:$B$46,"&lt;30",$B$4:$B$46,"&gt;24")</f>
        <v>1906032</v>
      </c>
      <c r="L6" s="14">
        <f t="shared" si="2"/>
        <v>116.93560234035945</v>
      </c>
      <c r="M6" s="12">
        <v>1000</v>
      </c>
      <c r="N6" s="13">
        <f t="shared" si="3"/>
        <v>5000</v>
      </c>
      <c r="O6" s="11">
        <f t="shared" si="4"/>
        <v>584.67801170179723</v>
      </c>
      <c r="P6" s="12">
        <v>49661</v>
      </c>
      <c r="Q6" s="11">
        <f t="shared" si="5"/>
        <v>5807.138947824591</v>
      </c>
      <c r="R6" s="11">
        <f t="shared" si="6"/>
        <v>2832.7507062558984</v>
      </c>
    </row>
    <row r="7" spans="1:18" x14ac:dyDescent="0.4">
      <c r="A7">
        <f t="shared" si="0"/>
        <v>15.5</v>
      </c>
      <c r="B7">
        <v>15</v>
      </c>
      <c r="C7">
        <v>283</v>
      </c>
      <c r="D7">
        <v>389188</v>
      </c>
      <c r="F7">
        <v>30</v>
      </c>
      <c r="G7">
        <v>-34</v>
      </c>
      <c r="H7" s="13" t="str">
        <f t="shared" si="1"/>
        <v>30-34</v>
      </c>
      <c r="I7" s="13"/>
      <c r="J7" s="12">
        <f>SUMIFS(C$4:C$46,$B$4:$B$46,"&lt;35",$B$4:$B$46,"&gt;29")</f>
        <v>247604</v>
      </c>
      <c r="K7" s="12">
        <f>SUMIFS(D$4:D$46,$B$4:$B$46,"&lt;35",$B$4:$B$46,"&gt;29")</f>
        <v>2011783</v>
      </c>
      <c r="L7" s="14">
        <f t="shared" si="2"/>
        <v>123.07689248790749</v>
      </c>
      <c r="M7" s="12">
        <v>1000</v>
      </c>
      <c r="N7" s="13">
        <f t="shared" si="3"/>
        <v>5000</v>
      </c>
      <c r="O7" s="11">
        <f t="shared" si="4"/>
        <v>615.3844624395374</v>
      </c>
      <c r="P7" s="12">
        <v>49591</v>
      </c>
      <c r="Q7" s="11">
        <f t="shared" si="5"/>
        <v>6103.5061753678201</v>
      </c>
      <c r="R7" s="11">
        <f t="shared" si="6"/>
        <v>2977.3200855452783</v>
      </c>
    </row>
    <row r="8" spans="1:18" x14ac:dyDescent="0.4">
      <c r="A8">
        <f t="shared" si="0"/>
        <v>16.5</v>
      </c>
      <c r="B8">
        <v>16</v>
      </c>
      <c r="C8">
        <v>834</v>
      </c>
      <c r="D8">
        <v>396733</v>
      </c>
      <c r="F8">
        <v>35</v>
      </c>
      <c r="G8">
        <v>-39</v>
      </c>
      <c r="H8" s="13" t="str">
        <f t="shared" si="1"/>
        <v>35-39</v>
      </c>
      <c r="I8" s="13"/>
      <c r="J8" s="12">
        <f>SUMIFS(C$4:C$46,$B$4:$B$46,"&lt;40",$B$4:$B$46,"&gt;34")</f>
        <v>130801</v>
      </c>
      <c r="K8" s="12">
        <f>SUMIFS(D$4:D$46,$B$4:$B$46,"&lt;40",$B$4:$B$46,"&gt;34")</f>
        <v>2072822</v>
      </c>
      <c r="L8" s="14">
        <f t="shared" si="2"/>
        <v>63.102861702548509</v>
      </c>
      <c r="M8" s="12">
        <v>1000</v>
      </c>
      <c r="N8" s="13">
        <f t="shared" si="3"/>
        <v>5000</v>
      </c>
      <c r="O8" s="11">
        <f t="shared" si="4"/>
        <v>315.51430851274256</v>
      </c>
      <c r="P8" s="12">
        <v>49486</v>
      </c>
      <c r="Q8" s="11">
        <f t="shared" si="5"/>
        <v>3122.7082142123154</v>
      </c>
      <c r="R8" s="11">
        <f t="shared" si="6"/>
        <v>1523.2722996157636</v>
      </c>
    </row>
    <row r="9" spans="1:18" x14ac:dyDescent="0.4">
      <c r="A9">
        <f t="shared" si="0"/>
        <v>17.5</v>
      </c>
      <c r="B9">
        <v>17</v>
      </c>
      <c r="C9">
        <v>1719</v>
      </c>
      <c r="D9">
        <v>390262</v>
      </c>
      <c r="F9">
        <v>40</v>
      </c>
      <c r="G9">
        <v>-44</v>
      </c>
      <c r="H9" s="13" t="str">
        <f t="shared" si="1"/>
        <v>40-44</v>
      </c>
      <c r="I9" s="13"/>
      <c r="J9" s="12">
        <f>SUMIFS(C$4:C$46,$B$4:$B$46,"&lt;45",$B$4:$B$46,"&gt;39")</f>
        <v>29870</v>
      </c>
      <c r="K9" s="12">
        <f>SUMIFS(D$4:D$46,$B$4:$B$46,"&lt;45",$B$4:$B$46,"&gt;39")</f>
        <v>2080585</v>
      </c>
      <c r="L9" s="14">
        <f t="shared" si="2"/>
        <v>14.356539146441987</v>
      </c>
      <c r="M9" s="12">
        <v>1000</v>
      </c>
      <c r="N9" s="13">
        <f t="shared" si="3"/>
        <v>5000</v>
      </c>
      <c r="O9" s="11">
        <f t="shared" si="4"/>
        <v>71.78269573220993</v>
      </c>
      <c r="P9" s="12">
        <v>49318</v>
      </c>
      <c r="Q9" s="11">
        <f t="shared" si="5"/>
        <v>708.03579762422601</v>
      </c>
      <c r="R9" s="11">
        <f t="shared" si="6"/>
        <v>345.38331591425657</v>
      </c>
    </row>
    <row r="10" spans="1:18" x14ac:dyDescent="0.4">
      <c r="A10">
        <f t="shared" si="0"/>
        <v>18.5</v>
      </c>
      <c r="B10">
        <v>18</v>
      </c>
      <c r="C10">
        <v>3342</v>
      </c>
      <c r="D10">
        <v>378302</v>
      </c>
      <c r="F10">
        <v>45</v>
      </c>
      <c r="G10">
        <v>-49</v>
      </c>
      <c r="H10" s="9" t="str">
        <f t="shared" si="1"/>
        <v>45-49</v>
      </c>
      <c r="I10" s="9"/>
      <c r="J10" s="8">
        <f>SUMIFS(C$4:C$46,$B$4:$B$46,"&lt;50",$B$4:$B$46,"&gt;44")</f>
        <v>1960</v>
      </c>
      <c r="K10" s="8">
        <f>SUMIFS(D$4:D$46,$B$4:$B$46,"&lt;50",$B$4:$B$46,"&gt;44")</f>
        <v>2210607</v>
      </c>
      <c r="L10" s="10">
        <f t="shared" si="2"/>
        <v>0.88663430451455194</v>
      </c>
      <c r="M10" s="8">
        <v>1000</v>
      </c>
      <c r="N10" s="9">
        <f>N9</f>
        <v>5000</v>
      </c>
      <c r="O10" s="7">
        <f t="shared" si="4"/>
        <v>4.433171522572759</v>
      </c>
      <c r="P10" s="8">
        <v>49039</v>
      </c>
      <c r="Q10" s="7">
        <f t="shared" si="5"/>
        <v>43.479659659089116</v>
      </c>
      <c r="R10" s="7">
        <f t="shared" si="6"/>
        <v>21.209590077604446</v>
      </c>
    </row>
    <row r="11" spans="1:18" x14ac:dyDescent="0.4">
      <c r="A11">
        <f t="shared" si="0"/>
        <v>19.5</v>
      </c>
      <c r="B11">
        <v>19</v>
      </c>
      <c r="C11">
        <v>6323</v>
      </c>
      <c r="D11">
        <v>370068</v>
      </c>
      <c r="H11" s="5" t="s">
        <v>2</v>
      </c>
      <c r="I11" s="5"/>
      <c r="J11" s="6">
        <f>SUM(J4:J10)</f>
        <v>730021</v>
      </c>
      <c r="K11" s="6">
        <f>SUM(K4:K10)</f>
        <v>13993982</v>
      </c>
      <c r="L11" s="6"/>
      <c r="M11" s="6"/>
      <c r="N11" s="5">
        <f>SUM(N4:N10)</f>
        <v>35000</v>
      </c>
      <c r="O11" s="4">
        <f>SUM(O4:O10)</f>
        <v>1860.3466247709555</v>
      </c>
      <c r="P11" s="5"/>
      <c r="Q11" s="4">
        <f>SUM(Q4:Q10)</f>
        <v>18455.326563921255</v>
      </c>
      <c r="R11" s="4">
        <f>SUM(R4:R10)</f>
        <v>9002.5983238640256</v>
      </c>
    </row>
    <row r="12" spans="1:18" x14ac:dyDescent="0.4">
      <c r="A12">
        <f t="shared" si="0"/>
        <v>20.5</v>
      </c>
      <c r="B12">
        <v>20</v>
      </c>
      <c r="C12">
        <v>9556</v>
      </c>
      <c r="D12">
        <v>365280</v>
      </c>
      <c r="K12" s="3">
        <f>1000*J11/K11</f>
        <v>52.16678140646458</v>
      </c>
      <c r="L12" s="3">
        <f>AVERAGE(L4:L10)</f>
        <v>53.152760707741571</v>
      </c>
      <c r="O12" s="2">
        <f>1000*O11/N11</f>
        <v>53.152760707741585</v>
      </c>
      <c r="R12" s="1">
        <f>R11/10000</f>
        <v>0.90025983238640261</v>
      </c>
    </row>
    <row r="13" spans="1:18" x14ac:dyDescent="0.4">
      <c r="A13">
        <f t="shared" si="0"/>
        <v>21.5</v>
      </c>
      <c r="B13">
        <v>21</v>
      </c>
      <c r="C13">
        <v>12627</v>
      </c>
      <c r="D13">
        <v>363690</v>
      </c>
    </row>
    <row r="14" spans="1:18" x14ac:dyDescent="0.4">
      <c r="A14">
        <f t="shared" si="0"/>
        <v>22.5</v>
      </c>
      <c r="B14">
        <v>22</v>
      </c>
      <c r="C14">
        <v>16237</v>
      </c>
      <c r="D14">
        <v>355390</v>
      </c>
      <c r="I14" t="s">
        <v>1</v>
      </c>
    </row>
    <row r="15" spans="1:18" x14ac:dyDescent="0.4">
      <c r="A15">
        <f t="shared" si="0"/>
        <v>23.5</v>
      </c>
      <c r="B15">
        <v>23</v>
      </c>
      <c r="C15">
        <v>20205</v>
      </c>
      <c r="D15">
        <v>348227</v>
      </c>
      <c r="I15" t="s">
        <v>0</v>
      </c>
    </row>
    <row r="16" spans="1:18" x14ac:dyDescent="0.4">
      <c r="A16">
        <f t="shared" si="0"/>
        <v>24.5</v>
      </c>
      <c r="B16">
        <v>24</v>
      </c>
      <c r="C16">
        <v>25777</v>
      </c>
      <c r="D16">
        <v>355013</v>
      </c>
    </row>
    <row r="17" spans="1:4" x14ac:dyDescent="0.4">
      <c r="A17">
        <f t="shared" si="0"/>
        <v>25.5</v>
      </c>
      <c r="B17">
        <v>25</v>
      </c>
      <c r="C17">
        <v>32461</v>
      </c>
      <c r="D17">
        <v>366538</v>
      </c>
    </row>
    <row r="18" spans="1:4" x14ac:dyDescent="0.4">
      <c r="A18">
        <f t="shared" si="0"/>
        <v>26.5</v>
      </c>
      <c r="B18">
        <v>26</v>
      </c>
      <c r="C18">
        <v>39180</v>
      </c>
      <c r="D18">
        <v>374447</v>
      </c>
    </row>
    <row r="19" spans="1:4" x14ac:dyDescent="0.4">
      <c r="A19">
        <f t="shared" si="0"/>
        <v>27.5</v>
      </c>
      <c r="B19">
        <v>27</v>
      </c>
      <c r="C19">
        <v>46061</v>
      </c>
      <c r="D19">
        <v>382831</v>
      </c>
    </row>
    <row r="20" spans="1:4" x14ac:dyDescent="0.4">
      <c r="A20">
        <f t="shared" si="0"/>
        <v>28.5</v>
      </c>
      <c r="B20">
        <v>28</v>
      </c>
      <c r="C20">
        <v>50876</v>
      </c>
      <c r="D20">
        <v>388827</v>
      </c>
    </row>
    <row r="21" spans="1:4" x14ac:dyDescent="0.4">
      <c r="A21">
        <f t="shared" si="0"/>
        <v>29.5</v>
      </c>
      <c r="B21">
        <v>29</v>
      </c>
      <c r="C21">
        <v>54305</v>
      </c>
      <c r="D21">
        <v>393389</v>
      </c>
    </row>
    <row r="22" spans="1:4" x14ac:dyDescent="0.4">
      <c r="A22">
        <f t="shared" si="0"/>
        <v>30.5</v>
      </c>
      <c r="B22">
        <v>30</v>
      </c>
      <c r="C22">
        <v>55595</v>
      </c>
      <c r="D22">
        <v>399970</v>
      </c>
    </row>
    <row r="23" spans="1:4" x14ac:dyDescent="0.4">
      <c r="A23">
        <f t="shared" si="0"/>
        <v>31.5</v>
      </c>
      <c r="B23">
        <v>31</v>
      </c>
      <c r="C23">
        <v>54683</v>
      </c>
      <c r="D23">
        <v>403540</v>
      </c>
    </row>
    <row r="24" spans="1:4" x14ac:dyDescent="0.4">
      <c r="A24">
        <f t="shared" si="0"/>
        <v>32.5</v>
      </c>
      <c r="B24">
        <v>32</v>
      </c>
      <c r="C24">
        <v>50787</v>
      </c>
      <c r="D24">
        <v>401186</v>
      </c>
    </row>
    <row r="25" spans="1:4" x14ac:dyDescent="0.4">
      <c r="A25">
        <f t="shared" si="0"/>
        <v>33.5</v>
      </c>
      <c r="B25">
        <v>33</v>
      </c>
      <c r="C25">
        <v>45450</v>
      </c>
      <c r="D25">
        <v>398428</v>
      </c>
    </row>
    <row r="26" spans="1:4" x14ac:dyDescent="0.4">
      <c r="A26">
        <f t="shared" si="0"/>
        <v>34.5</v>
      </c>
      <c r="B26">
        <v>34</v>
      </c>
      <c r="C26">
        <v>41089</v>
      </c>
      <c r="D26">
        <v>408659</v>
      </c>
    </row>
    <row r="27" spans="1:4" x14ac:dyDescent="0.4">
      <c r="A27">
        <f t="shared" si="0"/>
        <v>35.5</v>
      </c>
      <c r="B27">
        <v>35</v>
      </c>
      <c r="C27">
        <v>37444</v>
      </c>
      <c r="D27">
        <v>422827</v>
      </c>
    </row>
    <row r="28" spans="1:4" x14ac:dyDescent="0.4">
      <c r="A28">
        <f t="shared" si="0"/>
        <v>36.5</v>
      </c>
      <c r="B28">
        <v>36</v>
      </c>
      <c r="C28">
        <v>31971</v>
      </c>
      <c r="D28">
        <v>427899</v>
      </c>
    </row>
    <row r="29" spans="1:4" x14ac:dyDescent="0.4">
      <c r="A29">
        <f t="shared" si="0"/>
        <v>37.5</v>
      </c>
      <c r="B29">
        <v>37</v>
      </c>
      <c r="C29">
        <v>25755</v>
      </c>
      <c r="D29">
        <v>419769</v>
      </c>
    </row>
    <row r="30" spans="1:4" x14ac:dyDescent="0.4">
      <c r="A30">
        <f t="shared" si="0"/>
        <v>38.5</v>
      </c>
      <c r="B30">
        <v>38</v>
      </c>
      <c r="C30">
        <v>19930</v>
      </c>
      <c r="D30">
        <v>403585</v>
      </c>
    </row>
    <row r="31" spans="1:4" x14ac:dyDescent="0.4">
      <c r="A31">
        <f t="shared" si="0"/>
        <v>39.5</v>
      </c>
      <c r="B31">
        <v>39</v>
      </c>
      <c r="C31">
        <v>15701</v>
      </c>
      <c r="D31">
        <v>398742</v>
      </c>
    </row>
    <row r="32" spans="1:4" x14ac:dyDescent="0.4">
      <c r="A32">
        <f t="shared" si="0"/>
        <v>40.5</v>
      </c>
      <c r="B32">
        <v>40</v>
      </c>
      <c r="C32">
        <v>11587</v>
      </c>
      <c r="D32">
        <v>394806</v>
      </c>
    </row>
    <row r="33" spans="1:8" x14ac:dyDescent="0.4">
      <c r="A33">
        <f t="shared" si="0"/>
        <v>41.5</v>
      </c>
      <c r="B33">
        <v>41</v>
      </c>
      <c r="C33">
        <v>7762</v>
      </c>
      <c r="D33">
        <v>394511</v>
      </c>
    </row>
    <row r="34" spans="1:8" x14ac:dyDescent="0.4">
      <c r="A34">
        <f t="shared" si="0"/>
        <v>42.5</v>
      </c>
      <c r="B34">
        <v>42</v>
      </c>
      <c r="C34">
        <v>5265</v>
      </c>
      <c r="D34">
        <v>409293</v>
      </c>
    </row>
    <row r="35" spans="1:8" x14ac:dyDescent="0.4">
      <c r="A35">
        <f t="shared" si="0"/>
        <v>43.5</v>
      </c>
      <c r="B35">
        <v>43</v>
      </c>
      <c r="C35">
        <v>3389</v>
      </c>
      <c r="D35">
        <v>432553</v>
      </c>
    </row>
    <row r="36" spans="1:8" x14ac:dyDescent="0.4">
      <c r="A36">
        <f t="shared" si="0"/>
        <v>44.5</v>
      </c>
      <c r="B36">
        <v>44</v>
      </c>
      <c r="C36">
        <v>1867</v>
      </c>
      <c r="D36">
        <v>449422</v>
      </c>
    </row>
    <row r="37" spans="1:8" x14ac:dyDescent="0.4">
      <c r="A37">
        <f t="shared" si="0"/>
        <v>45.5</v>
      </c>
      <c r="B37">
        <v>45</v>
      </c>
      <c r="C37">
        <v>953</v>
      </c>
      <c r="D37">
        <v>452293</v>
      </c>
    </row>
    <row r="38" spans="1:8" x14ac:dyDescent="0.4">
      <c r="A38">
        <f t="shared" si="0"/>
        <v>46.5</v>
      </c>
      <c r="B38">
        <v>46</v>
      </c>
      <c r="C38">
        <v>533</v>
      </c>
      <c r="D38">
        <v>446775</v>
      </c>
    </row>
    <row r="39" spans="1:8" x14ac:dyDescent="0.4">
      <c r="A39">
        <f t="shared" si="0"/>
        <v>47.5</v>
      </c>
      <c r="B39">
        <v>47</v>
      </c>
      <c r="C39">
        <v>257</v>
      </c>
      <c r="D39">
        <v>440604</v>
      </c>
    </row>
    <row r="40" spans="1:8" x14ac:dyDescent="0.4">
      <c r="A40">
        <f t="shared" si="0"/>
        <v>48.5</v>
      </c>
      <c r="B40">
        <v>48</v>
      </c>
      <c r="C40">
        <v>119</v>
      </c>
      <c r="D40">
        <v>436708</v>
      </c>
    </row>
    <row r="41" spans="1:8" x14ac:dyDescent="0.4">
      <c r="A41">
        <f t="shared" si="0"/>
        <v>49.5</v>
      </c>
      <c r="B41">
        <v>49</v>
      </c>
      <c r="C41">
        <v>98</v>
      </c>
      <c r="D41">
        <v>434227</v>
      </c>
    </row>
    <row r="42" spans="1:8" x14ac:dyDescent="0.4">
      <c r="A42">
        <f t="shared" si="0"/>
        <v>50.5</v>
      </c>
      <c r="B42">
        <v>50</v>
      </c>
      <c r="C42">
        <v>48</v>
      </c>
      <c r="D42">
        <v>438200</v>
      </c>
    </row>
    <row r="43" spans="1:8" x14ac:dyDescent="0.4">
      <c r="A43">
        <f t="shared" si="0"/>
        <v>51.5</v>
      </c>
      <c r="B43">
        <v>51</v>
      </c>
      <c r="C43">
        <v>40</v>
      </c>
      <c r="D43">
        <v>443886</v>
      </c>
    </row>
    <row r="44" spans="1:8" x14ac:dyDescent="0.4">
      <c r="A44">
        <f t="shared" si="0"/>
        <v>52.5</v>
      </c>
      <c r="B44">
        <v>52</v>
      </c>
      <c r="C44">
        <v>11</v>
      </c>
      <c r="D44">
        <v>447339</v>
      </c>
    </row>
    <row r="45" spans="1:8" x14ac:dyDescent="0.4">
      <c r="A45">
        <f t="shared" si="0"/>
        <v>53.5</v>
      </c>
      <c r="B45">
        <v>53</v>
      </c>
      <c r="C45">
        <v>12</v>
      </c>
      <c r="D45">
        <v>447649</v>
      </c>
      <c r="H45">
        <f>56-12</f>
        <v>44</v>
      </c>
    </row>
    <row r="46" spans="1:8" x14ac:dyDescent="0.4">
      <c r="A46">
        <v>55</v>
      </c>
      <c r="B46">
        <v>54</v>
      </c>
      <c r="C46">
        <v>18</v>
      </c>
      <c r="D46">
        <v>438328</v>
      </c>
      <c r="H46">
        <f>56-15</f>
        <v>41</v>
      </c>
    </row>
    <row r="47" spans="1:8" x14ac:dyDescent="0.4">
      <c r="C47">
        <f>SUM(C4:C46)</f>
        <v>730242</v>
      </c>
      <c r="D47">
        <f>SUM(D4:D46)</f>
        <v>17366412</v>
      </c>
      <c r="E47">
        <f>1000*C47/D47</f>
        <v>42.049100297747167</v>
      </c>
      <c r="F47">
        <f>E47*44</f>
        <v>1850.1604131008753</v>
      </c>
    </row>
    <row r="48" spans="1:8" x14ac:dyDescent="0.4">
      <c r="C48">
        <f>SUM(C7:C46)</f>
        <v>730150</v>
      </c>
      <c r="D48">
        <f>SUM(D7:D46)</f>
        <v>16209384</v>
      </c>
      <c r="E48">
        <f>1000*C48/D48</f>
        <v>45.044894981820406</v>
      </c>
      <c r="F48">
        <f>E48*41</f>
        <v>1846.8406942546367</v>
      </c>
    </row>
    <row r="51" spans="3:4" x14ac:dyDescent="0.4">
      <c r="C51">
        <f>SUMPRODUCT(C4:C46,A4:A46)</f>
        <v>22560136</v>
      </c>
      <c r="D51">
        <f>SUMPRODUCT(C4:C46,B4:B46)</f>
        <v>22195006</v>
      </c>
    </row>
    <row r="52" spans="3:4" x14ac:dyDescent="0.4">
      <c r="C52">
        <f>C51/C47</f>
        <v>30.894054299807461</v>
      </c>
      <c r="D52">
        <f>D51/C47</f>
        <v>30.394041975126054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 pour le cours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Avdeev</dc:creator>
  <cp:lastModifiedBy>Alexandre Avdeev</cp:lastModifiedBy>
  <dcterms:created xsi:type="dcterms:W3CDTF">2020-04-20T12:08:17Z</dcterms:created>
  <dcterms:modified xsi:type="dcterms:W3CDTF">2022-04-02T18:02:05Z</dcterms:modified>
</cp:coreProperties>
</file>