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D:\Documents\At_use\2-Cours\1 - Demographie\2-TD\TD-8_Fecondite\TD-8-2\"/>
    </mc:Choice>
  </mc:AlternateContent>
  <xr:revisionPtr revIDLastSave="0" documentId="13_ncr:1_{036CAF30-4E76-41FD-A1FD-933C82F0213F}" xr6:coauthVersionLast="47" xr6:coauthVersionMax="47" xr10:uidLastSave="{00000000-0000-0000-0000-000000000000}"/>
  <bookViews>
    <workbookView xWindow="-98" yWindow="-98" windowWidth="28996" windowHeight="15945" xr2:uid="{00000000-000D-0000-FFFF-FFFF00000000}"/>
  </bookViews>
  <sheets>
    <sheet name="Ennoncé" sheetId="3" r:id="rId1"/>
    <sheet name="ex 1" sheetId="1" r:id="rId2"/>
    <sheet name="ex 2"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8" i="6" l="1"/>
  <c r="AF38" i="6"/>
  <c r="AG57" i="6"/>
  <c r="AH52" i="6"/>
  <c r="AH53" i="6"/>
  <c r="AG53" i="6"/>
  <c r="AG49" i="6"/>
  <c r="AG50" i="6"/>
  <c r="AG51" i="6"/>
  <c r="AG52" i="6"/>
  <c r="AG48" i="6"/>
  <c r="AG47" i="6"/>
  <c r="AG44" i="6"/>
  <c r="AG45" i="6"/>
  <c r="AG46" i="6"/>
  <c r="AG43" i="6"/>
  <c r="AF53" i="6"/>
  <c r="AF52" i="6"/>
  <c r="AE49" i="6"/>
  <c r="E36" i="6"/>
  <c r="D36" i="6"/>
  <c r="F36" i="6"/>
  <c r="G36" i="6"/>
  <c r="H36" i="6"/>
  <c r="I36" i="6"/>
  <c r="J36" i="6"/>
  <c r="K36" i="6"/>
  <c r="L36" i="6"/>
  <c r="M36" i="6"/>
  <c r="E35" i="6"/>
  <c r="F35" i="6"/>
  <c r="G35" i="6"/>
  <c r="H35" i="6"/>
  <c r="I35" i="6"/>
  <c r="J35" i="6"/>
  <c r="K35" i="6"/>
  <c r="L35" i="6"/>
  <c r="M35" i="6"/>
  <c r="D35" i="6"/>
  <c r="C35" i="6"/>
  <c r="E37" i="6"/>
  <c r="X8" i="6" l="1"/>
  <c r="AB26" i="6" l="1"/>
  <c r="AB27" i="6" s="1"/>
  <c r="AD36" i="6"/>
  <c r="I77" i="6"/>
  <c r="AE25" i="6"/>
  <c r="AG25" i="6" s="1"/>
  <c r="AC25" i="6"/>
  <c r="I21" i="1"/>
  <c r="W55" i="6"/>
  <c r="X55" i="6" s="1"/>
  <c r="W54" i="6"/>
  <c r="AC44" i="6" s="1"/>
  <c r="AD44" i="6" s="1"/>
  <c r="W53" i="6"/>
  <c r="AC45" i="6" s="1"/>
  <c r="AD45" i="6" s="1"/>
  <c r="W52" i="6"/>
  <c r="AC46" i="6" s="1"/>
  <c r="AD46" i="6" s="1"/>
  <c r="W51" i="6"/>
  <c r="AC47" i="6" s="1"/>
  <c r="AD47" i="6" s="1"/>
  <c r="W50" i="6"/>
  <c r="AC48" i="6" s="1"/>
  <c r="AD48" i="6" s="1"/>
  <c r="W49" i="6"/>
  <c r="AC49" i="6" s="1"/>
  <c r="AD49" i="6" s="1"/>
  <c r="W48" i="6"/>
  <c r="AC50" i="6" s="1"/>
  <c r="AD50" i="6" s="1"/>
  <c r="W47" i="6"/>
  <c r="AC51" i="6" s="1"/>
  <c r="AD51" i="6" s="1"/>
  <c r="W46" i="6"/>
  <c r="AC52" i="6" s="1"/>
  <c r="AD52" i="6" s="1"/>
  <c r="AD53" i="6"/>
  <c r="C56" i="6"/>
  <c r="F37" i="6"/>
  <c r="F38" i="6"/>
  <c r="G37" i="6"/>
  <c r="G38" i="6"/>
  <c r="G39" i="6"/>
  <c r="H37" i="6"/>
  <c r="H38" i="6"/>
  <c r="H39" i="6"/>
  <c r="H40" i="6"/>
  <c r="I37" i="6"/>
  <c r="I38" i="6"/>
  <c r="I39" i="6"/>
  <c r="I40" i="6"/>
  <c r="I41" i="6"/>
  <c r="J37" i="6"/>
  <c r="J38" i="6"/>
  <c r="J39" i="6"/>
  <c r="J40" i="6"/>
  <c r="J41" i="6"/>
  <c r="J42" i="6"/>
  <c r="K37" i="6"/>
  <c r="K38" i="6"/>
  <c r="K39" i="6"/>
  <c r="K40" i="6"/>
  <c r="K41" i="6"/>
  <c r="K42" i="6"/>
  <c r="K43" i="6"/>
  <c r="L37" i="6"/>
  <c r="L38" i="6"/>
  <c r="L39" i="6"/>
  <c r="L40" i="6"/>
  <c r="L41" i="6"/>
  <c r="L42" i="6"/>
  <c r="L43" i="6"/>
  <c r="L44" i="6"/>
  <c r="M37" i="6"/>
  <c r="M38" i="6"/>
  <c r="M39" i="6"/>
  <c r="M40" i="6"/>
  <c r="M41" i="6"/>
  <c r="M42" i="6"/>
  <c r="M43" i="6"/>
  <c r="M44" i="6"/>
  <c r="M45" i="6"/>
  <c r="N36" i="6"/>
  <c r="N37" i="6"/>
  <c r="N38" i="6"/>
  <c r="N39" i="6"/>
  <c r="N40" i="6"/>
  <c r="N41" i="6"/>
  <c r="N42" i="6"/>
  <c r="N43" i="6"/>
  <c r="N44" i="6"/>
  <c r="N45" i="6"/>
  <c r="N46" i="6"/>
  <c r="O37" i="6"/>
  <c r="O38" i="6"/>
  <c r="O39" i="6"/>
  <c r="O40" i="6"/>
  <c r="O41" i="6"/>
  <c r="O42" i="6"/>
  <c r="O43" i="6"/>
  <c r="O44" i="6"/>
  <c r="O45" i="6"/>
  <c r="O46" i="6"/>
  <c r="O47" i="6"/>
  <c r="P38" i="6"/>
  <c r="P39" i="6"/>
  <c r="P40" i="6"/>
  <c r="P41" i="6"/>
  <c r="P42" i="6"/>
  <c r="P43" i="6"/>
  <c r="P44" i="6"/>
  <c r="P45" i="6"/>
  <c r="P46" i="6"/>
  <c r="P47" i="6"/>
  <c r="P48" i="6"/>
  <c r="Q39" i="6"/>
  <c r="Q40" i="6"/>
  <c r="Q41" i="6"/>
  <c r="Q42" i="6"/>
  <c r="Q43" i="6"/>
  <c r="Q44" i="6"/>
  <c r="Q45" i="6"/>
  <c r="Q46" i="6"/>
  <c r="Q47" i="6"/>
  <c r="Q48" i="6"/>
  <c r="Q49" i="6"/>
  <c r="R40" i="6"/>
  <c r="R41" i="6"/>
  <c r="R42" i="6"/>
  <c r="R43" i="6"/>
  <c r="R44" i="6"/>
  <c r="R45" i="6"/>
  <c r="R46" i="6"/>
  <c r="R47" i="6"/>
  <c r="R48" i="6"/>
  <c r="R49" i="6"/>
  <c r="R50" i="6"/>
  <c r="S41" i="6"/>
  <c r="S42" i="6"/>
  <c r="S43" i="6"/>
  <c r="S44" i="6"/>
  <c r="S45" i="6"/>
  <c r="S46" i="6"/>
  <c r="S47" i="6"/>
  <c r="S48" i="6"/>
  <c r="S49" i="6"/>
  <c r="S50" i="6"/>
  <c r="S51" i="6"/>
  <c r="T42" i="6"/>
  <c r="T43" i="6"/>
  <c r="T44" i="6"/>
  <c r="T45" i="6"/>
  <c r="T46" i="6"/>
  <c r="T47" i="6"/>
  <c r="T48" i="6"/>
  <c r="T49" i="6"/>
  <c r="T50" i="6"/>
  <c r="T51" i="6"/>
  <c r="T52" i="6"/>
  <c r="U43" i="6"/>
  <c r="U44" i="6"/>
  <c r="U45" i="6"/>
  <c r="U46" i="6"/>
  <c r="U47" i="6"/>
  <c r="U48" i="6"/>
  <c r="U49" i="6"/>
  <c r="U50" i="6"/>
  <c r="U51" i="6"/>
  <c r="U52" i="6"/>
  <c r="U53" i="6"/>
  <c r="V44" i="6"/>
  <c r="V45" i="6"/>
  <c r="V46" i="6"/>
  <c r="V47" i="6"/>
  <c r="V48" i="6"/>
  <c r="V49" i="6"/>
  <c r="V50" i="6"/>
  <c r="V51" i="6"/>
  <c r="V52" i="6"/>
  <c r="V53" i="6"/>
  <c r="V54" i="6"/>
  <c r="W45" i="6"/>
  <c r="X9" i="6"/>
  <c r="X10" i="6"/>
  <c r="X11" i="6"/>
  <c r="X12" i="6"/>
  <c r="X13" i="6"/>
  <c r="X14" i="6"/>
  <c r="X15" i="6"/>
  <c r="X16" i="6"/>
  <c r="X17" i="6"/>
  <c r="X18" i="6"/>
  <c r="X19" i="6"/>
  <c r="X20" i="6"/>
  <c r="X21" i="6"/>
  <c r="X22" i="6"/>
  <c r="X23" i="6"/>
  <c r="X24" i="6"/>
  <c r="X25" i="6"/>
  <c r="X26" i="6"/>
  <c r="X27" i="6"/>
  <c r="X28" i="6"/>
  <c r="E11" i="1"/>
  <c r="X53" i="6" l="1"/>
  <c r="AC26" i="6"/>
  <c r="X54" i="6"/>
  <c r="AE26" i="6"/>
  <c r="X43" i="6"/>
  <c r="X48" i="6"/>
  <c r="X50" i="6"/>
  <c r="AC43" i="6"/>
  <c r="AD43" i="6" s="1"/>
  <c r="T56" i="6"/>
  <c r="X52" i="6"/>
  <c r="E12" i="1"/>
  <c r="O12" i="1" s="1"/>
  <c r="K14" i="1"/>
  <c r="K18" i="1"/>
  <c r="K11" i="1"/>
  <c r="K15" i="1"/>
  <c r="K19" i="1"/>
  <c r="K12" i="1"/>
  <c r="K16" i="1"/>
  <c r="K20" i="1"/>
  <c r="K13" i="1"/>
  <c r="K17" i="1"/>
  <c r="K21" i="1"/>
  <c r="V56" i="6"/>
  <c r="U56" i="6"/>
  <c r="X44" i="6"/>
  <c r="W56" i="6"/>
  <c r="X35" i="6"/>
  <c r="P56" i="6"/>
  <c r="X47" i="6"/>
  <c r="L56" i="6"/>
  <c r="K56" i="6"/>
  <c r="X41" i="6"/>
  <c r="X38" i="6"/>
  <c r="D56" i="6"/>
  <c r="I56" i="6"/>
  <c r="X45" i="6"/>
  <c r="X40" i="6"/>
  <c r="X37" i="6"/>
  <c r="X51" i="6"/>
  <c r="R56" i="6"/>
  <c r="Q56" i="6"/>
  <c r="X42" i="6"/>
  <c r="X46" i="6"/>
  <c r="M56" i="6"/>
  <c r="X39" i="6"/>
  <c r="E56" i="6"/>
  <c r="J56" i="6"/>
  <c r="S56" i="6"/>
  <c r="X49" i="6"/>
  <c r="O56" i="6"/>
  <c r="N56" i="6"/>
  <c r="G56" i="6"/>
  <c r="F56" i="6"/>
  <c r="H56" i="6"/>
  <c r="AF26" i="6"/>
  <c r="AB28" i="6"/>
  <c r="AE27" i="6"/>
  <c r="AC27" i="6"/>
  <c r="E13" i="1"/>
  <c r="F11" i="1"/>
  <c r="G12" i="1" s="1"/>
  <c r="X36" i="6"/>
  <c r="E26" i="1"/>
  <c r="AG26" i="6" l="1"/>
  <c r="AB44" i="6"/>
  <c r="AE43" i="6" s="1"/>
  <c r="Q11" i="1"/>
  <c r="L20" i="1"/>
  <c r="X56" i="6"/>
  <c r="L15" i="1"/>
  <c r="K22" i="1"/>
  <c r="L11" i="1"/>
  <c r="M12" i="1" s="1"/>
  <c r="L17" i="1"/>
  <c r="L12" i="1"/>
  <c r="L18" i="1"/>
  <c r="L13" i="1"/>
  <c r="L16" i="1"/>
  <c r="L19" i="1"/>
  <c r="L14" i="1"/>
  <c r="O13" i="1"/>
  <c r="P11" i="1"/>
  <c r="AC28" i="6"/>
  <c r="AE28" i="6"/>
  <c r="AB29" i="6"/>
  <c r="AH25" i="6"/>
  <c r="AF27" i="6"/>
  <c r="AG27" i="6" s="1"/>
  <c r="H11" i="1"/>
  <c r="E14" i="1"/>
  <c r="F12" i="1"/>
  <c r="G13" i="1" s="1"/>
  <c r="AB45" i="6" l="1"/>
  <c r="AE44" i="6" s="1"/>
  <c r="AF43" i="6"/>
  <c r="Q12" i="1"/>
  <c r="O14" i="1"/>
  <c r="P12" i="1"/>
  <c r="M13" i="1"/>
  <c r="M14" i="1" s="1"/>
  <c r="M15" i="1" s="1"/>
  <c r="M16" i="1" s="1"/>
  <c r="M17" i="1" s="1"/>
  <c r="M18" i="1" s="1"/>
  <c r="M19" i="1" s="1"/>
  <c r="M20" i="1" s="1"/>
  <c r="AF28" i="6"/>
  <c r="AG28" i="6" s="1"/>
  <c r="AH26" i="6"/>
  <c r="AE29" i="6"/>
  <c r="AB30" i="6"/>
  <c r="AC29" i="6"/>
  <c r="H12" i="1"/>
  <c r="F13" i="1"/>
  <c r="G14" i="1" s="1"/>
  <c r="E15" i="1"/>
  <c r="AB46" i="6" l="1"/>
  <c r="AF45" i="6" s="1"/>
  <c r="AF44" i="6"/>
  <c r="Q13" i="1"/>
  <c r="H13" i="1"/>
  <c r="O15" i="1"/>
  <c r="Q14" i="1" s="1"/>
  <c r="P13" i="1"/>
  <c r="AE30" i="6"/>
  <c r="AB31" i="6"/>
  <c r="AC30" i="6"/>
  <c r="F14" i="1"/>
  <c r="G15" i="1" s="1"/>
  <c r="E16" i="1"/>
  <c r="AH27" i="6"/>
  <c r="AB47" i="6" l="1"/>
  <c r="AE46" i="6" s="1"/>
  <c r="AE45" i="6"/>
  <c r="H14" i="1"/>
  <c r="O16" i="1"/>
  <c r="Q15" i="1" s="1"/>
  <c r="P14" i="1"/>
  <c r="AF29" i="6"/>
  <c r="E17" i="1"/>
  <c r="F15" i="1"/>
  <c r="G16" i="1" s="1"/>
  <c r="AE31" i="6"/>
  <c r="AB32" i="6"/>
  <c r="AC31" i="6"/>
  <c r="AG29" i="6" l="1"/>
  <c r="AB48" i="6"/>
  <c r="AF47" i="6" s="1"/>
  <c r="AF46" i="6"/>
  <c r="H15" i="1"/>
  <c r="O17" i="1"/>
  <c r="P15" i="1"/>
  <c r="F16" i="1"/>
  <c r="G17" i="1" s="1"/>
  <c r="E18" i="1"/>
  <c r="AF30" i="6"/>
  <c r="AG30" i="6" s="1"/>
  <c r="AH28" i="6"/>
  <c r="AC32" i="6"/>
  <c r="AE32" i="6"/>
  <c r="AB33" i="6"/>
  <c r="AE47" i="6" l="1"/>
  <c r="AB49" i="6"/>
  <c r="AE48" i="6" s="1"/>
  <c r="Q16" i="1"/>
  <c r="H16" i="1"/>
  <c r="O18" i="1"/>
  <c r="P16" i="1"/>
  <c r="AF31" i="6"/>
  <c r="AH29" i="6"/>
  <c r="E19" i="1"/>
  <c r="F17" i="1"/>
  <c r="G18" i="1" s="1"/>
  <c r="AB34" i="6"/>
  <c r="AE33" i="6"/>
  <c r="AC33" i="6"/>
  <c r="AF48" i="6" l="1"/>
  <c r="AB50" i="6"/>
  <c r="Q17" i="1"/>
  <c r="O19" i="1"/>
  <c r="Q18" i="1" s="1"/>
  <c r="P17" i="1"/>
  <c r="AH30" i="6"/>
  <c r="AG31" i="6"/>
  <c r="AF32" i="6" s="1"/>
  <c r="AC34" i="6"/>
  <c r="AE34" i="6"/>
  <c r="AB35" i="6"/>
  <c r="H17" i="1"/>
  <c r="F18" i="1"/>
  <c r="G19" i="1" s="1"/>
  <c r="E20" i="1"/>
  <c r="AB51" i="6" l="1"/>
  <c r="AE50" i="6" s="1"/>
  <c r="AF49" i="6"/>
  <c r="H18" i="1"/>
  <c r="O20" i="1"/>
  <c r="P18" i="1"/>
  <c r="AH31" i="6"/>
  <c r="AG32" i="6"/>
  <c r="AF33" i="6" s="1"/>
  <c r="AG33" i="6" s="1"/>
  <c r="E21" i="1"/>
  <c r="F19" i="1"/>
  <c r="G20" i="1" s="1"/>
  <c r="AE35" i="6"/>
  <c r="AC35" i="6"/>
  <c r="AF50" i="6" l="1"/>
  <c r="AH49" i="6" s="1"/>
  <c r="AB52" i="6"/>
  <c r="AE51" i="6" s="1"/>
  <c r="AH51" i="6"/>
  <c r="AH48" i="6"/>
  <c r="Q20" i="1"/>
  <c r="O21" i="1"/>
  <c r="Q21" i="1" s="1"/>
  <c r="AH47" i="6"/>
  <c r="AH50" i="6"/>
  <c r="Q19" i="1"/>
  <c r="P20" i="1"/>
  <c r="P19" i="1"/>
  <c r="AF34" i="6"/>
  <c r="E22" i="1"/>
  <c r="F20" i="1"/>
  <c r="F22" i="1" s="1"/>
  <c r="F23" i="1" s="1"/>
  <c r="AH32" i="6"/>
  <c r="H19" i="1"/>
  <c r="AF51" i="6" l="1"/>
  <c r="AB53" i="6"/>
  <c r="AE52" i="6"/>
  <c r="AB54" i="6"/>
  <c r="AE53" i="6" s="1"/>
  <c r="Q22" i="1"/>
  <c r="G21" i="1"/>
  <c r="G22" i="1" s="1"/>
  <c r="AG34" i="6"/>
  <c r="AG36" i="6" s="1"/>
  <c r="AF37" i="6" s="1"/>
  <c r="AH33" i="6"/>
  <c r="H21" i="1"/>
  <c r="AH45" i="6" l="1"/>
  <c r="AH46" i="6"/>
  <c r="AH43" i="6"/>
  <c r="AH44" i="6"/>
  <c r="AE54" i="6"/>
  <c r="AE56" i="6" s="1"/>
  <c r="AE57" i="6"/>
  <c r="AF35" i="6"/>
  <c r="H20" i="1"/>
  <c r="I22" i="1" s="1"/>
  <c r="H22" i="1"/>
  <c r="AH34" i="6" l="1"/>
  <c r="AH35" i="6"/>
  <c r="AI35" i="6" s="1"/>
  <c r="AI34" i="6" s="1"/>
  <c r="AI33" i="6" s="1"/>
  <c r="AI32" i="6" s="1"/>
  <c r="AI31" i="6" s="1"/>
  <c r="AI30" i="6" s="1"/>
  <c r="AI29" i="6" s="1"/>
  <c r="AI28" i="6" s="1"/>
  <c r="AI27" i="6" s="1"/>
  <c r="AI26" i="6" s="1"/>
  <c r="AI25" i="6" s="1"/>
  <c r="AJ25" i="6" s="1"/>
  <c r="AJ32" i="6"/>
  <c r="AJ28" i="6"/>
  <c r="AJ30" i="6"/>
  <c r="AJ33" i="6"/>
  <c r="M30" i="1"/>
  <c r="M21" i="1" s="1"/>
  <c r="M22" i="1" s="1"/>
  <c r="E27" i="1"/>
  <c r="AJ26" i="6" l="1"/>
  <c r="AJ27" i="6"/>
  <c r="AJ29" i="6"/>
  <c r="AJ31" i="6"/>
  <c r="AJ34" i="6" l="1"/>
  <c r="AJ35" i="6"/>
</calcChain>
</file>

<file path=xl/sharedStrings.xml><?xml version="1.0" encoding="utf-8"?>
<sst xmlns="http://schemas.openxmlformats.org/spreadsheetml/2006/main" count="109" uniqueCount="83">
  <si>
    <t>Nombre d’enfants</t>
  </si>
  <si>
    <t>Effectif</t>
  </si>
  <si>
    <t>Sans enfants</t>
  </si>
  <si>
    <t>Un enfant</t>
  </si>
  <si>
    <t>Deux enfants</t>
  </si>
  <si>
    <t>Trois enfants</t>
  </si>
  <si>
    <t>Quatre enfants</t>
  </si>
  <si>
    <t>Cinq enfants</t>
  </si>
  <si>
    <t>Six enfants</t>
  </si>
  <si>
    <t>Sept enfants</t>
  </si>
  <si>
    <t>Huit enfants</t>
  </si>
  <si>
    <t>Neuf enfants</t>
  </si>
  <si>
    <t>Nombre de femmes</t>
  </si>
  <si>
    <t>ou plus</t>
  </si>
  <si>
    <t>Nombre d'enfants non déclaré</t>
  </si>
  <si>
    <t>Nb de femmes</t>
  </si>
  <si>
    <r>
      <t>a</t>
    </r>
    <r>
      <rPr>
        <vertAlign val="subscript"/>
        <sz val="10"/>
        <rFont val="Calibri"/>
        <family val="2"/>
        <charset val="204"/>
      </rPr>
      <t>i</t>
    </r>
  </si>
  <si>
    <r>
      <t>DF</t>
    </r>
    <r>
      <rPr>
        <vertAlign val="subscript"/>
        <sz val="10"/>
        <rFont val="Calibri"/>
        <family val="2"/>
        <charset val="204"/>
      </rPr>
      <t>i</t>
    </r>
  </si>
  <si>
    <r>
      <t>p</t>
    </r>
    <r>
      <rPr>
        <vertAlign val="subscript"/>
        <sz val="10"/>
        <rFont val="Calibri"/>
        <family val="2"/>
        <charset val="204"/>
      </rPr>
      <t>i</t>
    </r>
  </si>
  <si>
    <t>i</t>
  </si>
  <si>
    <t xml:space="preserve">A partir de la répartition des femmes nées en 1938 selon le nombre d’enfants. </t>
  </si>
  <si>
    <t xml:space="preserve">Calculez les probabilités d’agrandissement de la famille de chaque taille. </t>
  </si>
  <si>
    <t>Quelle sont les descendances de chaque parité ?</t>
  </si>
  <si>
    <t>Quelle est la distribution des femmes selon le nombre d'enfants (selon les descendances finale)</t>
  </si>
  <si>
    <t>Essayez toutes les méthodes de calcul présentées dans le cours sur la fécondité</t>
  </si>
  <si>
    <t>Exercice 1</t>
  </si>
  <si>
    <t>femmes</t>
  </si>
  <si>
    <t>Année de</t>
  </si>
  <si>
    <t>naissance</t>
  </si>
  <si>
    <t>ayant 1er</t>
  </si>
  <si>
    <t>enfant</t>
  </si>
  <si>
    <t>du 1er</t>
  </si>
  <si>
    <t>année de naissance du 2d enfant</t>
  </si>
  <si>
    <t>Source: A.Hinde. Demographic Methods.London, Arnold Publisher, 1998.p.115.</t>
  </si>
  <si>
    <t>Répartition des femmes selon l'année de naissance de leur premier et second enfant (EDS, Tanzanie, 1991-1992)</t>
  </si>
  <si>
    <t>d'après l’enquête « Démographie et santé » (Demographic and Health Survey) réalisée en Tanzanie en 1991-1992</t>
  </si>
  <si>
    <t>calculez la probabilité de naissance de deuxième enfant (probabilité d’agrandissement de la famille a1 / parity progression ratio 1-2) pour les cohortes féminines définies par l’année de naissance du premier enfant</t>
  </si>
  <si>
    <t xml:space="preserve">et pour les cohortes fictives des périodes du 1980 à 1990. </t>
  </si>
  <si>
    <t>Calculez le même indicateur pour les années ultérieures et commentez-les.</t>
  </si>
  <si>
    <t xml:space="preserve">Dix </t>
  </si>
  <si>
    <t>Pd</t>
  </si>
  <si>
    <t>Pf</t>
  </si>
  <si>
    <t>Nais</t>
  </si>
  <si>
    <t>q</t>
  </si>
  <si>
    <t>Sx</t>
  </si>
  <si>
    <t>dx</t>
  </si>
  <si>
    <t>Tx</t>
  </si>
  <si>
    <t>nLx</t>
  </si>
  <si>
    <t>px</t>
  </si>
  <si>
    <t>qx</t>
  </si>
  <si>
    <t>La probabilité de ne pas avoir accouché le 2e enfant au cours de l'année</t>
  </si>
  <si>
    <t xml:space="preserve">année </t>
  </si>
  <si>
    <t>début</t>
  </si>
  <si>
    <t>fin</t>
  </si>
  <si>
    <t>X</t>
  </si>
  <si>
    <t>t</t>
  </si>
  <si>
    <t>Ex</t>
  </si>
  <si>
    <t>Table transversale 1990 pour le 2d naissance</t>
  </si>
  <si>
    <r>
      <t>La DF</t>
    </r>
    <r>
      <rPr>
        <vertAlign val="subscript"/>
        <sz val="10"/>
        <rFont val="Calibri"/>
        <family val="2"/>
        <charset val="204"/>
      </rPr>
      <t>10+</t>
    </r>
    <r>
      <rPr>
        <sz val="10"/>
        <rFont val="Calibri"/>
        <family val="2"/>
      </rPr>
      <t xml:space="preserve"> ajustée = la différence entre le nombre moyen d'enfants (somme de produit colonnes i et p</t>
    </r>
    <r>
      <rPr>
        <vertAlign val="subscript"/>
        <sz val="10"/>
        <rFont val="Calibri"/>
        <family val="2"/>
        <charset val="204"/>
      </rPr>
      <t>i</t>
    </r>
    <r>
      <rPr>
        <sz val="10"/>
        <rFont val="Calibri"/>
        <family val="2"/>
      </rPr>
      <t>) et la somme de DF des rangs de 1 à 9</t>
    </r>
  </si>
  <si>
    <t>Données</t>
  </si>
  <si>
    <t>Calcules de base</t>
  </si>
  <si>
    <t>méthode 1</t>
  </si>
  <si>
    <t>méthode 2</t>
  </si>
  <si>
    <t>méthode 3</t>
  </si>
  <si>
    <t>Nombre d'enfants de rang non déclaré</t>
  </si>
  <si>
    <t>est petit par rapport aux nombre de femmes</t>
  </si>
  <si>
    <t>et encore plus par rapport au nombre d'enfants</t>
  </si>
  <si>
    <t>On peut donc le négliger dans les calculs</t>
  </si>
  <si>
    <t>soit aux effectifs d'enfants de chaque rang de naissance</t>
  </si>
  <si>
    <t>Sinon, il est possible de le distribuer proportionnellement</t>
  </si>
  <si>
    <t>soit aux effectifs des femmes ayant nombre déclaré d'enfants</t>
  </si>
  <si>
    <t>DF10+ ajustée =</t>
  </si>
  <si>
    <r>
      <t>Pour corriger cet inconvénient, il faut ajuster DF</t>
    </r>
    <r>
      <rPr>
        <vertAlign val="subscript"/>
        <sz val="10"/>
        <rFont val="Calibri"/>
        <family val="2"/>
        <charset val="204"/>
      </rPr>
      <t>10+</t>
    </r>
    <r>
      <rPr>
        <sz val="10"/>
        <rFont val="Calibri"/>
        <family val="2"/>
      </rPr>
      <t xml:space="preserve"> (il y a plus d'enfant que les femmes)</t>
    </r>
  </si>
  <si>
    <r>
      <t>On voit que la DF dans la colonne i &gt; DF dans la colonne DF</t>
    </r>
    <r>
      <rPr>
        <vertAlign val="subscript"/>
        <sz val="10"/>
        <rFont val="Calibri"/>
        <family val="2"/>
        <charset val="204"/>
      </rPr>
      <t>i</t>
    </r>
    <r>
      <rPr>
        <sz val="10"/>
        <rFont val="Calibri"/>
        <family val="2"/>
      </rPr>
      <t xml:space="preserve"> (pourquoi ?), pour corriger cet inconvénient </t>
    </r>
  </si>
  <si>
    <t>Exercice 3</t>
  </si>
  <si>
    <t>Analyser l'évolution de la probabilité de la naissance d'un deuxième enfants dans les générations réelles et fictives</t>
  </si>
  <si>
    <t>Table de 2d naissance pour la cohorte de 1e naissance en 1971</t>
  </si>
  <si>
    <t>données censurées à partir d'ici (9 ans)</t>
  </si>
  <si>
    <t>No de</t>
  </si>
  <si>
    <t>a0=</t>
  </si>
  <si>
    <t>Intervalle moyen=</t>
  </si>
  <si>
    <t>la durée moyenne sans 2d enfant pour toutes</t>
  </si>
  <si>
    <t>la durée moyenne sans 2d enfant pour celle qui l'ont eus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</si>
</sst>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000"/>
    <numFmt numFmtId="167" formatCode="#,##0.000"/>
    <numFmt numFmtId="168" formatCode="0.00000"/>
    <numFmt numFmtId="169" formatCode="0.000%"/>
  </numFmts>
  <fonts count="12" x14ac:knownFonts="1">
    <font>
      <sz val="10"/>
      <name val="Arial"/>
    </font>
    <font>
      <sz val="10"/>
      <name val="Arial"/>
      <family val="2"/>
      <charset val="204"/>
    </font>
    <font>
      <sz val="10"/>
      <name val="Arial"/>
      <family val="2"/>
      <charset val="204"/>
    </font>
    <font>
      <sz val="10"/>
      <name val="Calibri"/>
      <family val="2"/>
    </font>
    <font>
      <vertAlign val="subscript"/>
      <sz val="10"/>
      <name val="Calibri"/>
      <family val="2"/>
      <charset val="204"/>
    </font>
    <font>
      <sz val="8"/>
      <name val="Arial"/>
      <family val="2"/>
      <charset val="204"/>
    </font>
    <font>
      <sz val="11"/>
      <name val="Calibri"/>
      <family val="2"/>
      <charset val="204"/>
    </font>
    <font>
      <b/>
      <u/>
      <sz val="11"/>
      <name val="Calibri"/>
      <family val="2"/>
      <charset val="204"/>
    </font>
    <font>
      <sz val="10"/>
      <name val="Calibri"/>
      <family val="2"/>
      <charset val="204"/>
      <scheme val="minor"/>
    </font>
    <font>
      <sz val="10"/>
      <color rgb="FFFF0000"/>
      <name val="Calibri"/>
      <family val="2"/>
      <charset val="204"/>
      <scheme val="minor"/>
    </font>
    <font>
      <b/>
      <sz val="10"/>
      <name val="Calibri"/>
      <family val="2"/>
      <charset val="204"/>
      <scheme val="minor"/>
    </font>
    <font>
      <sz val="8"/>
      <name val="Calibri"/>
      <family val="2"/>
      <charset val="204"/>
      <scheme val="min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6"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76">
    <xf numFmtId="0" fontId="0" fillId="0" borderId="0" xfId="0"/>
    <xf numFmtId="0" fontId="3" fillId="0" borderId="0" xfId="1" applyFont="1" applyBorder="1"/>
    <xf numFmtId="0" fontId="3" fillId="0" borderId="0" xfId="1" applyFont="1"/>
    <xf numFmtId="0" fontId="3" fillId="0" borderId="1" xfId="1" applyFont="1" applyBorder="1"/>
    <xf numFmtId="0" fontId="3" fillId="0" borderId="2" xfId="1" applyFont="1" applyBorder="1" applyAlignment="1"/>
    <xf numFmtId="0" fontId="3" fillId="0" borderId="3" xfId="1" applyFont="1" applyBorder="1" applyAlignment="1">
      <alignment horizontal="center"/>
    </xf>
    <xf numFmtId="0" fontId="3" fillId="0" borderId="4" xfId="1" applyFont="1" applyBorder="1" applyAlignment="1"/>
    <xf numFmtId="0" fontId="3" fillId="0" borderId="0" xfId="1" applyFont="1" applyBorder="1" applyAlignment="1"/>
    <xf numFmtId="3" fontId="3" fillId="0" borderId="5" xfId="1" applyNumberFormat="1" applyFont="1" applyBorder="1" applyAlignment="1">
      <alignment horizontal="right"/>
    </xf>
    <xf numFmtId="3" fontId="3" fillId="0" borderId="0" xfId="1" applyNumberFormat="1" applyFont="1"/>
    <xf numFmtId="168" fontId="3" fillId="0" borderId="0" xfId="1" applyNumberFormat="1" applyFont="1"/>
    <xf numFmtId="3" fontId="3" fillId="0" borderId="6" xfId="1" applyNumberFormat="1" applyFont="1" applyBorder="1" applyAlignment="1">
      <alignment horizontal="right"/>
    </xf>
    <xf numFmtId="0" fontId="3" fillId="0" borderId="7" xfId="1" applyFont="1" applyBorder="1" applyAlignment="1"/>
    <xf numFmtId="0" fontId="3" fillId="0" borderId="8" xfId="1" applyFont="1" applyBorder="1" applyAlignment="1"/>
    <xf numFmtId="3" fontId="3" fillId="0" borderId="9" xfId="1" applyNumberFormat="1" applyFont="1" applyBorder="1" applyAlignment="1">
      <alignment horizontal="right"/>
    </xf>
    <xf numFmtId="0" fontId="3" fillId="0" borderId="10" xfId="1" applyFont="1" applyBorder="1" applyAlignment="1"/>
    <xf numFmtId="0" fontId="3" fillId="0" borderId="0" xfId="1" applyFont="1" applyBorder="1" applyAlignment="1">
      <alignment horizontal="right" vertical="top" wrapText="1"/>
    </xf>
    <xf numFmtId="3" fontId="3" fillId="0" borderId="11" xfId="1" applyNumberFormat="1" applyFont="1" applyBorder="1" applyAlignment="1">
      <alignment horizontal="right" wrapText="1"/>
    </xf>
    <xf numFmtId="0" fontId="3" fillId="0" borderId="12" xfId="1" applyFont="1" applyBorder="1" applyAlignment="1"/>
    <xf numFmtId="0" fontId="3" fillId="0" borderId="13" xfId="1" applyFont="1" applyBorder="1" applyAlignment="1">
      <alignment horizontal="right" vertical="top" wrapText="1"/>
    </xf>
    <xf numFmtId="0" fontId="3" fillId="0" borderId="14" xfId="1" applyFont="1" applyBorder="1"/>
    <xf numFmtId="0" fontId="3" fillId="0" borderId="15" xfId="1" applyFont="1" applyBorder="1" applyAlignment="1">
      <alignment horizontal="right"/>
    </xf>
    <xf numFmtId="3" fontId="3" fillId="0" borderId="16" xfId="1" applyNumberFormat="1" applyFont="1" applyBorder="1" applyAlignment="1">
      <alignment horizontal="right"/>
    </xf>
    <xf numFmtId="3" fontId="3" fillId="0" borderId="5" xfId="1" applyNumberFormat="1" applyFont="1" applyBorder="1"/>
    <xf numFmtId="3" fontId="3" fillId="0" borderId="6" xfId="1" applyNumberFormat="1" applyFont="1" applyBorder="1"/>
    <xf numFmtId="167" fontId="3" fillId="0" borderId="6" xfId="1" applyNumberFormat="1" applyFont="1" applyBorder="1"/>
    <xf numFmtId="168" fontId="3" fillId="0" borderId="6" xfId="1" applyNumberFormat="1" applyFont="1" applyBorder="1"/>
    <xf numFmtId="3" fontId="3" fillId="0" borderId="17" xfId="1" applyNumberFormat="1" applyFont="1" applyBorder="1"/>
    <xf numFmtId="167" fontId="3" fillId="0" borderId="17" xfId="1" applyNumberFormat="1" applyFont="1" applyBorder="1"/>
    <xf numFmtId="0" fontId="3" fillId="0" borderId="0" xfId="1" applyNumberFormat="1" applyFont="1"/>
    <xf numFmtId="0" fontId="3" fillId="0" borderId="5" xfId="1" applyNumberFormat="1" applyFont="1" applyBorder="1" applyAlignment="1">
      <alignment horizontal="center"/>
    </xf>
    <xf numFmtId="0" fontId="3" fillId="0" borderId="6" xfId="1" applyNumberFormat="1" applyFont="1" applyBorder="1" applyAlignment="1">
      <alignment horizontal="center"/>
    </xf>
    <xf numFmtId="0" fontId="3" fillId="0" borderId="17" xfId="1" applyNumberFormat="1" applyFont="1" applyBorder="1" applyAlignment="1">
      <alignment horizontal="center"/>
    </xf>
    <xf numFmtId="0" fontId="6" fillId="0" borderId="0" xfId="0" applyFont="1"/>
    <xf numFmtId="0" fontId="7" fillId="0" borderId="0" xfId="0" applyFont="1"/>
    <xf numFmtId="0" fontId="6" fillId="0" borderId="0" xfId="0" applyNumberFormat="1" applyFont="1"/>
    <xf numFmtId="164" fontId="3" fillId="0" borderId="0" xfId="1" applyNumberFormat="1" applyFont="1"/>
    <xf numFmtId="164" fontId="3" fillId="0" borderId="6" xfId="1" applyNumberFormat="1" applyFont="1" applyBorder="1"/>
    <xf numFmtId="164" fontId="3" fillId="0" borderId="17" xfId="1" applyNumberFormat="1" applyFont="1" applyBorder="1"/>
    <xf numFmtId="168" fontId="3" fillId="0" borderId="0" xfId="1" applyNumberFormat="1" applyFont="1" applyAlignment="1">
      <alignment horizontal="right"/>
    </xf>
    <xf numFmtId="169" fontId="3" fillId="0" borderId="0" xfId="2" applyNumberFormat="1" applyFont="1" applyBorder="1" applyAlignment="1">
      <alignment horizontal="left"/>
    </xf>
    <xf numFmtId="169" fontId="3" fillId="0" borderId="0" xfId="2" applyNumberFormat="1" applyFont="1" applyAlignment="1">
      <alignment horizontal="left"/>
    </xf>
    <xf numFmtId="164" fontId="3" fillId="3" borderId="0" xfId="1" applyNumberFormat="1" applyFont="1" applyFill="1"/>
    <xf numFmtId="164" fontId="3" fillId="0" borderId="5" xfId="1" applyNumberFormat="1" applyFont="1" applyBorder="1"/>
    <xf numFmtId="0" fontId="8" fillId="2" borderId="0" xfId="0" applyFont="1" applyFill="1"/>
    <xf numFmtId="0" fontId="8" fillId="0" borderId="0" xfId="0" applyFont="1"/>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8" xfId="0" applyFont="1" applyBorder="1" applyAlignment="1">
      <alignment horizontal="center"/>
    </xf>
    <xf numFmtId="0" fontId="8" fillId="0" borderId="8" xfId="0" applyFont="1" applyBorder="1" applyAlignment="1">
      <alignment horizontal="left"/>
    </xf>
    <xf numFmtId="0" fontId="8" fillId="0" borderId="24" xfId="0" applyFont="1" applyBorder="1" applyAlignment="1">
      <alignment horizontal="center"/>
    </xf>
    <xf numFmtId="0" fontId="8" fillId="0" borderId="25" xfId="0" applyFont="1" applyBorder="1" applyAlignment="1">
      <alignment horizontal="center"/>
    </xf>
    <xf numFmtId="0" fontId="8" fillId="0" borderId="18" xfId="0" applyFont="1" applyBorder="1"/>
    <xf numFmtId="0" fontId="8" fillId="0" borderId="22" xfId="0" applyFont="1" applyBorder="1"/>
    <xf numFmtId="166" fontId="8" fillId="0" borderId="0" xfId="0" applyNumberFormat="1" applyFont="1"/>
    <xf numFmtId="0" fontId="8" fillId="0" borderId="25" xfId="0" applyFont="1" applyBorder="1"/>
    <xf numFmtId="166" fontId="10" fillId="0" borderId="0" xfId="0" applyNumberFormat="1" applyFont="1"/>
    <xf numFmtId="0" fontId="8" fillId="0" borderId="0" xfId="0" applyFont="1" applyAlignment="1">
      <alignment horizontal="center"/>
    </xf>
    <xf numFmtId="165" fontId="8" fillId="2" borderId="0" xfId="0" applyNumberFormat="1" applyFont="1" applyFill="1"/>
    <xf numFmtId="2" fontId="8" fillId="0" borderId="0" xfId="0" applyNumberFormat="1" applyFont="1"/>
    <xf numFmtId="0" fontId="8" fillId="0" borderId="0" xfId="0" applyNumberFormat="1" applyFont="1"/>
    <xf numFmtId="1" fontId="8" fillId="0" borderId="0" xfId="0" applyNumberFormat="1" applyFont="1"/>
    <xf numFmtId="166" fontId="8" fillId="0" borderId="0" xfId="0" applyNumberFormat="1" applyFont="1" applyAlignment="1">
      <alignment horizontal="right"/>
    </xf>
    <xf numFmtId="165" fontId="8" fillId="0" borderId="0" xfId="0" applyNumberFormat="1" applyFont="1"/>
    <xf numFmtId="164" fontId="8" fillId="0" borderId="0" xfId="0" applyNumberFormat="1" applyFont="1"/>
    <xf numFmtId="164" fontId="10" fillId="0" borderId="0" xfId="0" applyNumberFormat="1" applyFont="1"/>
    <xf numFmtId="0" fontId="9" fillId="4" borderId="22" xfId="0" applyFont="1" applyFill="1" applyBorder="1"/>
    <xf numFmtId="0" fontId="8" fillId="4" borderId="22" xfId="0" applyFont="1" applyFill="1" applyBorder="1"/>
    <xf numFmtId="0" fontId="8" fillId="4" borderId="25" xfId="0" applyFont="1" applyFill="1" applyBorder="1"/>
    <xf numFmtId="0" fontId="9" fillId="0" borderId="0" xfId="0" applyFont="1"/>
    <xf numFmtId="0" fontId="11" fillId="0" borderId="0" xfId="0" applyFont="1"/>
    <xf numFmtId="0" fontId="8" fillId="0" borderId="0" xfId="0" applyFont="1" applyAlignment="1">
      <alignment horizontal="right"/>
    </xf>
  </cellXfs>
  <cellStyles count="3">
    <cellStyle name="Normal" xfId="0" builtinId="0"/>
    <cellStyle name="Normal_Classeur1" xfId="1" xr:uid="{00000000-0005-0000-0000-00000100000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142876</xdr:rowOff>
    </xdr:from>
    <xdr:to>
      <xdr:col>8</xdr:col>
      <xdr:colOff>85725</xdr:colOff>
      <xdr:row>6</xdr:row>
      <xdr:rowOff>5444</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23825" y="142876"/>
          <a:ext cx="5769429" cy="8422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Calibri"/>
            </a:rPr>
            <a:t>Le tableau ci-dessous présente la répartition des femmes nées en 1938 selon le nombre d’enfants. </a:t>
          </a:r>
        </a:p>
        <a:p>
          <a:pPr algn="l" rtl="0">
            <a:defRPr sz="1000"/>
          </a:pPr>
          <a:r>
            <a:rPr lang="fr-FR" sz="1000" b="0" i="0" u="none" strike="noStrike" baseline="0">
              <a:solidFill>
                <a:srgbClr val="000000"/>
              </a:solidFill>
              <a:latin typeface="Calibri"/>
            </a:rPr>
            <a:t>– Calculez les probabilités d’agrandissement de la famille de chaque taille. </a:t>
          </a:r>
        </a:p>
        <a:p>
          <a:pPr algn="l" rtl="0">
            <a:defRPr sz="1000"/>
          </a:pPr>
          <a:r>
            <a:rPr lang="fr-FR" sz="1000" b="0" i="0" u="none" strike="noStrike" baseline="0">
              <a:solidFill>
                <a:srgbClr val="000000"/>
              </a:solidFill>
              <a:latin typeface="Calibri"/>
            </a:rPr>
            <a:t>– Quelle sont les descendances de chaque parité ?</a:t>
          </a:r>
        </a:p>
        <a:p>
          <a:pPr algn="l" rtl="0">
            <a:defRPr sz="1000"/>
          </a:pPr>
          <a:r>
            <a:rPr lang="fr-FR" sz="1000" b="0" i="0" u="none" strike="noStrike" baseline="0">
              <a:solidFill>
                <a:srgbClr val="000000"/>
              </a:solidFill>
              <a:latin typeface="Calibri"/>
            </a:rPr>
            <a:t>– Quelle est la distribution des femmes selon le nombre d'enfants (selon les descendances finale)</a:t>
          </a:r>
        </a:p>
        <a:p>
          <a:pPr algn="l" rtl="0">
            <a:defRPr sz="1000"/>
          </a:pPr>
          <a:r>
            <a:rPr lang="fr-FR" sz="1000" b="0" i="0" u="none" strike="noStrike" baseline="0">
              <a:solidFill>
                <a:srgbClr val="000000"/>
              </a:solidFill>
              <a:latin typeface="Calibri"/>
            </a:rPr>
            <a:t>– Essayez toutes les méthodes de calcul présentées dans le cours sur la fécondité</a:t>
          </a:r>
          <a:endParaRPr lang="fr-FR"/>
        </a:p>
      </xdr:txBody>
    </xdr:sp>
    <xdr:clientData/>
  </xdr:twoCellAnchor>
  <mc:AlternateContent xmlns:mc="http://schemas.openxmlformats.org/markup-compatibility/2006">
    <mc:Choice xmlns:a14="http://schemas.microsoft.com/office/drawing/2010/main" Requires="a14">
      <xdr:twoCellAnchor editAs="oneCell">
        <xdr:from>
          <xdr:col>5</xdr:col>
          <xdr:colOff>4763</xdr:colOff>
          <xdr:row>28</xdr:row>
          <xdr:rowOff>80963</xdr:rowOff>
        </xdr:from>
        <xdr:to>
          <xdr:col>10</xdr:col>
          <xdr:colOff>0</xdr:colOff>
          <xdr:row>31</xdr:row>
          <xdr:rowOff>52388</xdr:rowOff>
        </xdr:to>
        <xdr:sp macro="" textlink="">
          <xdr:nvSpPr>
            <xdr:cNvPr id="2" name="AutoShape 1" hidden="1">
              <a:extLst>
                <a:ext uri="{63B3BB69-23CF-44E3-9099-C40C66FF867C}">
                  <a14:compatExt spid="_x0000_s1025"/>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476250</xdr:colOff>
      <xdr:row>3</xdr:row>
      <xdr:rowOff>28574</xdr:rowOff>
    </xdr:from>
    <xdr:to>
      <xdr:col>41</xdr:col>
      <xdr:colOff>215900</xdr:colOff>
      <xdr:row>14</xdr:row>
      <xdr:rowOff>101600</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9258300" y="523874"/>
          <a:ext cx="6813550" cy="18891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ct val="105000"/>
            </a:lnSpc>
            <a:defRPr sz="1000"/>
          </a:pPr>
          <a:r>
            <a:rPr lang="fr-FR" sz="1200" b="0" i="0" u="none" strike="noStrike" baseline="0">
              <a:solidFill>
                <a:srgbClr val="000000"/>
              </a:solidFill>
              <a:latin typeface="+mn-lt"/>
            </a:rPr>
            <a:t>En 1991-1992, l’enquête « Démographie et santé » (Demographic and Health Survey) a été réalisée en Tanzanie auprès près de 9000 femmes âgées de 15 à 50 ans (15-49 ans révolus). Au cours de cette enquête les femmes ont répondu aux questions sur les dates de naissance de tous leurs enfants biologiques. Le tableau représente la distribution des naissances de deuxième enfant selon l’année de leur naissance ainsi que selon l’année de naissance des leurs frères et sœurs ainés (les premières naissances).</a:t>
          </a:r>
        </a:p>
        <a:p>
          <a:pPr algn="l" rtl="0">
            <a:lnSpc>
              <a:spcPct val="105000"/>
            </a:lnSpc>
            <a:defRPr sz="1000"/>
          </a:pPr>
          <a:r>
            <a:rPr lang="fr-FR" sz="1200" b="0" i="0" u="none" strike="noStrike" baseline="0">
              <a:solidFill>
                <a:srgbClr val="000000"/>
              </a:solidFill>
              <a:latin typeface="+mn-lt"/>
            </a:rPr>
            <a:t>Calculez à partir de ces données la probabilité de naissance de deuxième enfant (probabilité d’agrandissement de la famille a1 (parity progression ratio 1-2) pour les cohortes féminines définies par l’année de naissance du premier enfant et pour les cohortes fictives des périodes du 1980 à 1990. Calculez le même indicateur pour les années ultérieures et commentez-les. </a:t>
          </a:r>
        </a:p>
        <a:p>
          <a:pPr algn="l" rtl="0">
            <a:lnSpc>
              <a:spcPts val="700"/>
            </a:lnSpc>
            <a:defRPr sz="1000"/>
          </a:pPr>
          <a:endParaRPr lang="fr-FR" sz="1200" b="0" i="0" u="none" strike="noStrike" baseline="0">
            <a:solidFill>
              <a:srgbClr val="000000"/>
            </a:solidFill>
            <a:latin typeface="+mn-lt"/>
            <a:cs typeface="Arial"/>
          </a:endParaRPr>
        </a:p>
        <a:p>
          <a:pPr algn="l" rtl="0">
            <a:lnSpc>
              <a:spcPts val="1000"/>
            </a:lnSpc>
            <a:defRPr sz="1000"/>
          </a:pPr>
          <a:endParaRPr lang="fr-FR" sz="1200">
            <a:latin typeface="+mn-lt"/>
          </a:endParaRPr>
        </a:p>
      </xdr:txBody>
    </xdr:sp>
    <xdr:clientData/>
  </xdr:twoCellAnchor>
  <xdr:twoCellAnchor>
    <xdr:from>
      <xdr:col>8</xdr:col>
      <xdr:colOff>180975</xdr:colOff>
      <xdr:row>19</xdr:row>
      <xdr:rowOff>149279</xdr:rowOff>
    </xdr:from>
    <xdr:to>
      <xdr:col>11</xdr:col>
      <xdr:colOff>302186</xdr:colOff>
      <xdr:row>22</xdr:row>
      <xdr:rowOff>149744</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3729038" y="3316342"/>
          <a:ext cx="1321361" cy="500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Données censurées à droite</a:t>
          </a:r>
        </a:p>
      </xdr:txBody>
    </xdr:sp>
    <xdr:clientData/>
  </xdr:twoCellAnchor>
  <xdr:twoCellAnchor>
    <xdr:from>
      <xdr:col>11</xdr:col>
      <xdr:colOff>302186</xdr:colOff>
      <xdr:row>19</xdr:row>
      <xdr:rowOff>100012</xdr:rowOff>
    </xdr:from>
    <xdr:to>
      <xdr:col>13</xdr:col>
      <xdr:colOff>279938</xdr:colOff>
      <xdr:row>21</xdr:row>
      <xdr:rowOff>66168</xdr:rowOff>
    </xdr:to>
    <xdr:cxnSp macro="">
      <xdr:nvCxnSpPr>
        <xdr:cNvPr id="4" name="Connecteur droit avec flèche 3">
          <a:extLst>
            <a:ext uri="{FF2B5EF4-FFF2-40B4-BE49-F238E27FC236}">
              <a16:creationId xmlns:a16="http://schemas.microsoft.com/office/drawing/2014/main" id="{00000000-0008-0000-0200-000004000000}"/>
            </a:ext>
          </a:extLst>
        </xdr:cNvPr>
        <xdr:cNvCxnSpPr>
          <a:stCxn id="3" idx="3"/>
        </xdr:cNvCxnSpPr>
      </xdr:nvCxnSpPr>
      <xdr:spPr>
        <a:xfrm flipV="1">
          <a:off x="5050399" y="3267075"/>
          <a:ext cx="777852" cy="2995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302186</xdr:colOff>
      <xdr:row>21</xdr:row>
      <xdr:rowOff>66168</xdr:rowOff>
    </xdr:from>
    <xdr:to>
      <xdr:col>13</xdr:col>
      <xdr:colOff>243808</xdr:colOff>
      <xdr:row>25</xdr:row>
      <xdr:rowOff>156776</xdr:rowOff>
    </xdr:to>
    <xdr:cxnSp macro="">
      <xdr:nvCxnSpPr>
        <xdr:cNvPr id="5" name="Connecteur droit avec flèche 4">
          <a:extLst>
            <a:ext uri="{FF2B5EF4-FFF2-40B4-BE49-F238E27FC236}">
              <a16:creationId xmlns:a16="http://schemas.microsoft.com/office/drawing/2014/main" id="{00000000-0008-0000-0200-000005000000}"/>
            </a:ext>
          </a:extLst>
        </xdr:cNvPr>
        <xdr:cNvCxnSpPr>
          <a:stCxn id="3" idx="3"/>
        </xdr:cNvCxnSpPr>
      </xdr:nvCxnSpPr>
      <xdr:spPr>
        <a:xfrm>
          <a:off x="5050399" y="3566606"/>
          <a:ext cx="741722" cy="7573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4"/>
  <sheetViews>
    <sheetView tabSelected="1" workbookViewId="0">
      <selection activeCell="D22" sqref="D22"/>
    </sheetView>
  </sheetViews>
  <sheetFormatPr baseColWidth="10" defaultColWidth="11.33203125" defaultRowHeight="14.25" x14ac:dyDescent="0.45"/>
  <cols>
    <col min="1" max="1" width="11.33203125" style="33"/>
    <col min="2" max="2" width="6.19921875" style="33" customWidth="1"/>
    <col min="3" max="16384" width="11.33203125" style="33"/>
  </cols>
  <sheetData>
    <row r="2" spans="2:3" x14ac:dyDescent="0.45">
      <c r="B2" s="34" t="s">
        <v>25</v>
      </c>
    </row>
    <row r="3" spans="2:3" x14ac:dyDescent="0.45">
      <c r="B3" s="33" t="s">
        <v>20</v>
      </c>
    </row>
    <row r="4" spans="2:3" x14ac:dyDescent="0.45">
      <c r="B4" s="33">
        <v>1</v>
      </c>
      <c r="C4" s="33" t="s">
        <v>21</v>
      </c>
    </row>
    <row r="5" spans="2:3" x14ac:dyDescent="0.45">
      <c r="B5" s="33">
        <v>2</v>
      </c>
      <c r="C5" s="33" t="s">
        <v>22</v>
      </c>
    </row>
    <row r="6" spans="2:3" x14ac:dyDescent="0.45">
      <c r="B6" s="33">
        <v>3</v>
      </c>
      <c r="C6" s="33" t="s">
        <v>23</v>
      </c>
    </row>
    <row r="7" spans="2:3" x14ac:dyDescent="0.45">
      <c r="B7" s="33">
        <v>4</v>
      </c>
      <c r="C7" s="33" t="s">
        <v>24</v>
      </c>
    </row>
    <row r="9" spans="2:3" x14ac:dyDescent="0.45">
      <c r="B9" s="34" t="s">
        <v>74</v>
      </c>
    </row>
    <row r="10" spans="2:3" x14ac:dyDescent="0.45">
      <c r="C10" s="33" t="s">
        <v>75</v>
      </c>
    </row>
    <row r="11" spans="2:3" x14ac:dyDescent="0.45">
      <c r="C11" s="33" t="s">
        <v>35</v>
      </c>
    </row>
    <row r="12" spans="2:3" x14ac:dyDescent="0.45">
      <c r="B12" s="33">
        <v>1</v>
      </c>
      <c r="C12" s="35" t="s">
        <v>36</v>
      </c>
    </row>
    <row r="13" spans="2:3" x14ac:dyDescent="0.45">
      <c r="B13" s="33">
        <v>2</v>
      </c>
      <c r="C13" s="35" t="s">
        <v>37</v>
      </c>
    </row>
    <row r="14" spans="2:3" x14ac:dyDescent="0.45">
      <c r="B14" s="33">
        <v>3</v>
      </c>
      <c r="C14" s="35" t="s">
        <v>38</v>
      </c>
    </row>
  </sheetData>
  <phoneticPr fontId="5"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Q31"/>
  <sheetViews>
    <sheetView workbookViewId="0">
      <selection activeCell="T25" sqref="T25"/>
    </sheetView>
  </sheetViews>
  <sheetFormatPr baseColWidth="10" defaultColWidth="11.33203125" defaultRowHeight="13.15" x14ac:dyDescent="0.4"/>
  <cols>
    <col min="1" max="1" width="7.53125" style="2" customWidth="1"/>
    <col min="2" max="2" width="6.73046875" style="2" customWidth="1"/>
    <col min="3" max="3" width="17.73046875" style="2" customWidth="1"/>
    <col min="4" max="4" width="10.53125" style="2" customWidth="1"/>
    <col min="5" max="5" width="12.33203125" style="2" customWidth="1"/>
    <col min="6" max="6" width="8" style="2" customWidth="1"/>
    <col min="7" max="7" width="8.265625" style="2" customWidth="1"/>
    <col min="8" max="8" width="7.33203125" style="2" customWidth="1"/>
    <col min="9" max="9" width="6.46484375" style="2" customWidth="1"/>
    <col min="10" max="10" width="4.265625" style="2" customWidth="1"/>
    <col min="11" max="11" width="8.265625" style="2" customWidth="1"/>
    <col min="12" max="12" width="7.19921875" style="2" customWidth="1"/>
    <col min="13" max="13" width="8" style="2" customWidth="1"/>
    <col min="14" max="14" width="3.9296875" style="2" customWidth="1"/>
    <col min="15" max="15" width="6" style="2" customWidth="1"/>
    <col min="16" max="16" width="5.59765625" style="2" customWidth="1"/>
    <col min="17" max="18" width="8" style="2" customWidth="1"/>
    <col min="19" max="16384" width="11.33203125" style="2"/>
  </cols>
  <sheetData>
    <row r="7" spans="2:17" x14ac:dyDescent="0.4">
      <c r="B7" s="1"/>
      <c r="C7" s="1"/>
      <c r="D7" s="1"/>
    </row>
    <row r="8" spans="2:17" x14ac:dyDescent="0.4">
      <c r="B8" s="1"/>
      <c r="C8" s="1"/>
      <c r="D8" s="1"/>
      <c r="E8" s="2" t="s">
        <v>60</v>
      </c>
    </row>
    <row r="9" spans="2:17" ht="13.5" thickBot="1" x14ac:dyDescent="0.45">
      <c r="B9" s="1"/>
      <c r="C9" s="1"/>
      <c r="D9" s="1" t="s">
        <v>59</v>
      </c>
      <c r="F9" s="2" t="s">
        <v>61</v>
      </c>
      <c r="K9" s="2" t="s">
        <v>62</v>
      </c>
      <c r="O9" s="2" t="s">
        <v>63</v>
      </c>
    </row>
    <row r="10" spans="2:17" ht="15.75" thickBot="1" x14ac:dyDescent="0.6">
      <c r="B10" s="3"/>
      <c r="C10" s="4" t="s">
        <v>0</v>
      </c>
      <c r="D10" s="5" t="s">
        <v>1</v>
      </c>
      <c r="E10" s="5" t="s">
        <v>15</v>
      </c>
      <c r="F10" s="5" t="s">
        <v>16</v>
      </c>
      <c r="G10" s="5" t="s">
        <v>17</v>
      </c>
      <c r="H10" s="5" t="s">
        <v>18</v>
      </c>
      <c r="I10" s="5" t="s">
        <v>19</v>
      </c>
      <c r="K10" s="5" t="s">
        <v>18</v>
      </c>
      <c r="L10" s="5" t="s">
        <v>16</v>
      </c>
      <c r="M10" s="5" t="s">
        <v>17</v>
      </c>
      <c r="O10" s="5" t="s">
        <v>17</v>
      </c>
      <c r="P10" s="5" t="s">
        <v>16</v>
      </c>
      <c r="Q10" s="5" t="s">
        <v>18</v>
      </c>
    </row>
    <row r="11" spans="2:17" x14ac:dyDescent="0.4">
      <c r="B11" s="6"/>
      <c r="C11" s="7" t="s">
        <v>2</v>
      </c>
      <c r="D11" s="8">
        <v>98630</v>
      </c>
      <c r="E11" s="23">
        <f>SUM(D11:D21)</f>
        <v>1226307</v>
      </c>
      <c r="F11" s="25">
        <f>E12/E11</f>
        <v>0.91957152654270102</v>
      </c>
      <c r="G11" s="42"/>
      <c r="H11" s="43">
        <f>1-G12</f>
        <v>8.0428473457298977E-2</v>
      </c>
      <c r="I11" s="30">
        <v>0</v>
      </c>
      <c r="K11" s="43">
        <f t="shared" ref="K11:K21" si="0">D11/$E$11</f>
        <v>8.0428473457299032E-2</v>
      </c>
      <c r="L11" s="25">
        <f>SUM(K12:K$21)/SUM(K11:K$21)</f>
        <v>0.91957152654270113</v>
      </c>
      <c r="M11" s="26"/>
      <c r="O11" s="26"/>
      <c r="P11" s="25">
        <f>O12</f>
        <v>0.91957152654270102</v>
      </c>
      <c r="Q11" s="43">
        <f>1-O12</f>
        <v>8.0428473457298977E-2</v>
      </c>
    </row>
    <row r="12" spans="2:17" x14ac:dyDescent="0.4">
      <c r="B12" s="6"/>
      <c r="C12" s="7" t="s">
        <v>3</v>
      </c>
      <c r="D12" s="11">
        <v>332750</v>
      </c>
      <c r="E12" s="24">
        <f t="shared" ref="E12:E22" si="1">E11-D11</f>
        <v>1127677</v>
      </c>
      <c r="F12" s="25">
        <f t="shared" ref="F12:F20" si="2">E13/E12</f>
        <v>0.70492437107434136</v>
      </c>
      <c r="G12" s="37">
        <f>F11</f>
        <v>0.91957152654270102</v>
      </c>
      <c r="H12" s="37">
        <f>G12-G13</f>
        <v>0.27134314653671554</v>
      </c>
      <c r="I12" s="31">
        <v>1</v>
      </c>
      <c r="K12" s="37">
        <f t="shared" si="0"/>
        <v>0.27134314653671554</v>
      </c>
      <c r="L12" s="25">
        <f>SUM(K13:K$21)/SUM(K12:K$21)</f>
        <v>0.70492437107434125</v>
      </c>
      <c r="M12" s="37">
        <f>L11</f>
        <v>0.91957152654270113</v>
      </c>
      <c r="N12" s="10"/>
      <c r="O12" s="37">
        <f>E12/E11</f>
        <v>0.91957152654270102</v>
      </c>
      <c r="P12" s="25">
        <f>O13/O12</f>
        <v>0.70492437107434136</v>
      </c>
      <c r="Q12" s="37">
        <f>O12-O13</f>
        <v>0.27134314653671554</v>
      </c>
    </row>
    <row r="13" spans="2:17" x14ac:dyDescent="0.4">
      <c r="B13" s="6"/>
      <c r="C13" s="7" t="s">
        <v>4</v>
      </c>
      <c r="D13" s="11">
        <v>522649</v>
      </c>
      <c r="E13" s="24">
        <f t="shared" si="1"/>
        <v>794927</v>
      </c>
      <c r="F13" s="25">
        <f t="shared" si="2"/>
        <v>0.34251950179073049</v>
      </c>
      <c r="G13" s="37">
        <f t="shared" ref="G13:G21" si="3">G12*F12</f>
        <v>0.64822838000598548</v>
      </c>
      <c r="H13" s="37">
        <f t="shared" ref="H13:H20" si="4">G13-G14</f>
        <v>0.42619751823972302</v>
      </c>
      <c r="I13" s="31">
        <v>2</v>
      </c>
      <c r="K13" s="37">
        <f t="shared" si="0"/>
        <v>0.42619751823972302</v>
      </c>
      <c r="L13" s="25">
        <f>SUM(K14:K$21)/SUM(K13:K$21)</f>
        <v>0.34251950179073043</v>
      </c>
      <c r="M13" s="37">
        <f>M12*L12</f>
        <v>0.64822838000598548</v>
      </c>
      <c r="N13" s="10"/>
      <c r="O13" s="37">
        <f t="shared" ref="O13:O21" si="5">O12-K12</f>
        <v>0.64822838000598548</v>
      </c>
      <c r="P13" s="25">
        <f t="shared" ref="P13:P20" si="6">O14/O13</f>
        <v>0.34251950179073049</v>
      </c>
      <c r="Q13" s="37">
        <f t="shared" ref="Q13:Q20" si="7">O13-O14</f>
        <v>0.42619751823972302</v>
      </c>
    </row>
    <row r="14" spans="2:17" x14ac:dyDescent="0.4">
      <c r="B14" s="6"/>
      <c r="C14" s="7" t="s">
        <v>5</v>
      </c>
      <c r="D14" s="11">
        <v>163007</v>
      </c>
      <c r="E14" s="24">
        <f t="shared" si="1"/>
        <v>272278</v>
      </c>
      <c r="F14" s="25">
        <f t="shared" si="2"/>
        <v>0.40132144352463289</v>
      </c>
      <c r="G14" s="37">
        <f>G13*F13</f>
        <v>0.22203086176626247</v>
      </c>
      <c r="H14" s="37">
        <f t="shared" si="4"/>
        <v>0.13292511581520777</v>
      </c>
      <c r="I14" s="31">
        <v>3</v>
      </c>
      <c r="K14" s="37">
        <f t="shared" si="0"/>
        <v>0.13292511581520777</v>
      </c>
      <c r="L14" s="25">
        <f>SUM(K15:K$21)/SUM(K14:K$21)</f>
        <v>0.40132144352463295</v>
      </c>
      <c r="M14" s="37">
        <f t="shared" ref="M14:M20" si="8">M13*L13</f>
        <v>0.22203086176626244</v>
      </c>
      <c r="N14" s="10"/>
      <c r="O14" s="37">
        <f t="shared" si="5"/>
        <v>0.22203086176626247</v>
      </c>
      <c r="P14" s="25">
        <f t="shared" si="6"/>
        <v>0.401321443524633</v>
      </c>
      <c r="Q14" s="37">
        <f t="shared" si="7"/>
        <v>0.13292511581520777</v>
      </c>
    </row>
    <row r="15" spans="2:17" x14ac:dyDescent="0.4">
      <c r="B15" s="6"/>
      <c r="C15" s="7" t="s">
        <v>6</v>
      </c>
      <c r="D15" s="11">
        <v>48930</v>
      </c>
      <c r="E15" s="24">
        <f t="shared" si="1"/>
        <v>109271</v>
      </c>
      <c r="F15" s="25">
        <f t="shared" si="2"/>
        <v>0.55221421969232454</v>
      </c>
      <c r="G15" s="37">
        <f t="shared" si="3"/>
        <v>8.910574595105468E-2</v>
      </c>
      <c r="H15" s="37">
        <f t="shared" si="4"/>
        <v>3.9900285980590512E-2</v>
      </c>
      <c r="I15" s="31">
        <v>4</v>
      </c>
      <c r="K15" s="37">
        <f t="shared" si="0"/>
        <v>3.9900285980590505E-2</v>
      </c>
      <c r="L15" s="25">
        <f>SUM(K16:K$21)/SUM(K15:K$21)</f>
        <v>0.55221421969232443</v>
      </c>
      <c r="M15" s="37">
        <f t="shared" si="8"/>
        <v>8.910574595105468E-2</v>
      </c>
      <c r="N15" s="10"/>
      <c r="O15" s="37">
        <f t="shared" si="5"/>
        <v>8.9105745951054693E-2</v>
      </c>
      <c r="P15" s="25">
        <f t="shared" si="6"/>
        <v>0.55221421969232465</v>
      </c>
      <c r="Q15" s="37">
        <f t="shared" si="7"/>
        <v>3.9900285980590505E-2</v>
      </c>
    </row>
    <row r="16" spans="2:17" x14ac:dyDescent="0.4">
      <c r="B16" s="6"/>
      <c r="C16" s="7" t="s">
        <v>7</v>
      </c>
      <c r="D16" s="11">
        <v>30717</v>
      </c>
      <c r="E16" s="24">
        <f t="shared" si="1"/>
        <v>60341</v>
      </c>
      <c r="F16" s="25">
        <f t="shared" si="2"/>
        <v>0.49094313982201154</v>
      </c>
      <c r="G16" s="37">
        <f t="shared" si="3"/>
        <v>4.9205459970464167E-2</v>
      </c>
      <c r="H16" s="37">
        <f t="shared" si="4"/>
        <v>2.5048376956178186E-2</v>
      </c>
      <c r="I16" s="31">
        <v>5</v>
      </c>
      <c r="K16" s="37">
        <f t="shared" si="0"/>
        <v>2.5048376956178182E-2</v>
      </c>
      <c r="L16" s="25">
        <f>SUM(K17:K$21)/SUM(K16:K$21)</f>
        <v>0.49094313982201165</v>
      </c>
      <c r="M16" s="37">
        <f t="shared" si="8"/>
        <v>4.9205459970464153E-2</v>
      </c>
      <c r="N16" s="10"/>
      <c r="O16" s="37">
        <f t="shared" si="5"/>
        <v>4.9205459970464188E-2</v>
      </c>
      <c r="P16" s="25">
        <f t="shared" si="6"/>
        <v>0.49094313982201182</v>
      </c>
      <c r="Q16" s="37">
        <f t="shared" si="7"/>
        <v>2.5048376956178182E-2</v>
      </c>
    </row>
    <row r="17" spans="2:17" x14ac:dyDescent="0.4">
      <c r="B17" s="6"/>
      <c r="C17" s="7" t="s">
        <v>8</v>
      </c>
      <c r="D17" s="11">
        <v>13154</v>
      </c>
      <c r="E17" s="24">
        <f t="shared" si="1"/>
        <v>29624</v>
      </c>
      <c r="F17" s="25">
        <f t="shared" si="2"/>
        <v>0.55596813394544964</v>
      </c>
      <c r="G17" s="37">
        <f t="shared" si="3"/>
        <v>2.4157083014285981E-2</v>
      </c>
      <c r="H17" s="37">
        <f t="shared" si="4"/>
        <v>1.0726514649268087E-2</v>
      </c>
      <c r="I17" s="31">
        <v>6</v>
      </c>
      <c r="K17" s="37">
        <f t="shared" si="0"/>
        <v>1.0726514649268087E-2</v>
      </c>
      <c r="L17" s="25">
        <f>SUM(K18:K$21)/SUM(K17:K$21)</f>
        <v>0.55596813394544975</v>
      </c>
      <c r="M17" s="37">
        <f t="shared" si="8"/>
        <v>2.4157083014285981E-2</v>
      </c>
      <c r="N17" s="10"/>
      <c r="O17" s="37">
        <f t="shared" si="5"/>
        <v>2.4157083014286006E-2</v>
      </c>
      <c r="P17" s="25">
        <f t="shared" si="6"/>
        <v>0.55596813394545008</v>
      </c>
      <c r="Q17" s="37">
        <f t="shared" si="7"/>
        <v>1.0726514649268087E-2</v>
      </c>
    </row>
    <row r="18" spans="2:17" x14ac:dyDescent="0.4">
      <c r="B18" s="6"/>
      <c r="C18" s="7" t="s">
        <v>9</v>
      </c>
      <c r="D18" s="11">
        <v>6681</v>
      </c>
      <c r="E18" s="24">
        <f t="shared" si="1"/>
        <v>16470</v>
      </c>
      <c r="F18" s="25">
        <f t="shared" si="2"/>
        <v>0.59435336976320585</v>
      </c>
      <c r="G18" s="37">
        <f t="shared" si="3"/>
        <v>1.3430568365017895E-2</v>
      </c>
      <c r="H18" s="37">
        <f t="shared" si="4"/>
        <v>5.4480647994343996E-3</v>
      </c>
      <c r="I18" s="31">
        <v>7</v>
      </c>
      <c r="K18" s="37">
        <f t="shared" si="0"/>
        <v>5.4480647994343996E-3</v>
      </c>
      <c r="L18" s="25">
        <f>SUM(K19:K$21)/SUM(K18:K$21)</f>
        <v>0.59435336976320574</v>
      </c>
      <c r="M18" s="37">
        <f t="shared" si="8"/>
        <v>1.3430568365017898E-2</v>
      </c>
      <c r="N18" s="10"/>
      <c r="O18" s="37">
        <f t="shared" si="5"/>
        <v>1.3430568365017919E-2</v>
      </c>
      <c r="P18" s="25">
        <f t="shared" si="6"/>
        <v>0.59435336976320652</v>
      </c>
      <c r="Q18" s="37">
        <f t="shared" si="7"/>
        <v>5.4480647994343996E-3</v>
      </c>
    </row>
    <row r="19" spans="2:17" x14ac:dyDescent="0.4">
      <c r="B19" s="6"/>
      <c r="C19" s="7" t="s">
        <v>10</v>
      </c>
      <c r="D19" s="11">
        <v>3998</v>
      </c>
      <c r="E19" s="24">
        <f t="shared" si="1"/>
        <v>9789</v>
      </c>
      <c r="F19" s="25">
        <f t="shared" si="2"/>
        <v>0.59158238839513744</v>
      </c>
      <c r="G19" s="37">
        <f t="shared" si="3"/>
        <v>7.9825035655834951E-3</v>
      </c>
      <c r="H19" s="37">
        <f t="shared" si="4"/>
        <v>3.2601950408829104E-3</v>
      </c>
      <c r="I19" s="31">
        <v>8</v>
      </c>
      <c r="K19" s="37">
        <f t="shared" si="0"/>
        <v>3.2601950408829112E-3</v>
      </c>
      <c r="L19" s="25">
        <f>SUM(K20:K$21)/SUM(K19:K$21)</f>
        <v>0.59158238839513744</v>
      </c>
      <c r="M19" s="37">
        <f t="shared" si="8"/>
        <v>7.9825035655834969E-3</v>
      </c>
      <c r="N19" s="10"/>
      <c r="O19" s="37">
        <f t="shared" si="5"/>
        <v>7.9825035655835194E-3</v>
      </c>
      <c r="P19" s="25">
        <f t="shared" si="6"/>
        <v>0.59158238839513855</v>
      </c>
      <c r="Q19" s="37">
        <f t="shared" si="7"/>
        <v>3.2601950408829112E-3</v>
      </c>
    </row>
    <row r="20" spans="2:17" ht="13.5" thickBot="1" x14ac:dyDescent="0.45">
      <c r="B20" s="12"/>
      <c r="C20" s="13" t="s">
        <v>11</v>
      </c>
      <c r="D20" s="14">
        <v>2186</v>
      </c>
      <c r="E20" s="24">
        <f t="shared" si="1"/>
        <v>5791</v>
      </c>
      <c r="F20" s="28">
        <f t="shared" si="2"/>
        <v>0.62251769987912275</v>
      </c>
      <c r="G20" s="37">
        <f t="shared" si="3"/>
        <v>4.7223085247005848E-3</v>
      </c>
      <c r="H20" s="37">
        <f t="shared" si="4"/>
        <v>1.7825878837844033E-3</v>
      </c>
      <c r="I20" s="31">
        <v>9</v>
      </c>
      <c r="K20" s="37">
        <f t="shared" si="0"/>
        <v>1.7825878837844031E-3</v>
      </c>
      <c r="L20" s="28">
        <f>SUM(K21:K$21)/SUM(K20:K$21)</f>
        <v>0.62251769987912275</v>
      </c>
      <c r="M20" s="37">
        <f t="shared" si="8"/>
        <v>4.7223085247005856E-3</v>
      </c>
      <c r="N20" s="10"/>
      <c r="O20" s="37">
        <f t="shared" si="5"/>
        <v>4.7223085247006082E-3</v>
      </c>
      <c r="P20" s="28">
        <f t="shared" si="6"/>
        <v>0.62251769987912475</v>
      </c>
      <c r="Q20" s="37">
        <f t="shared" si="7"/>
        <v>1.7825878837844028E-3</v>
      </c>
    </row>
    <row r="21" spans="2:17" ht="13.5" thickBot="1" x14ac:dyDescent="0.45">
      <c r="B21" s="15" t="s">
        <v>39</v>
      </c>
      <c r="C21" s="16" t="s">
        <v>12</v>
      </c>
      <c r="D21" s="17">
        <v>3605</v>
      </c>
      <c r="E21" s="27">
        <f t="shared" si="1"/>
        <v>3605</v>
      </c>
      <c r="G21" s="38">
        <f t="shared" si="3"/>
        <v>2.9397206409161815E-3</v>
      </c>
      <c r="H21" s="38">
        <f>G21</f>
        <v>2.9397206409161815E-3</v>
      </c>
      <c r="I21" s="32">
        <f>D22/D21</f>
        <v>10.995284327323162</v>
      </c>
      <c r="K21" s="38">
        <f t="shared" si="0"/>
        <v>2.9397206409161815E-3</v>
      </c>
      <c r="L21" s="36"/>
      <c r="M21" s="38">
        <f>M30</f>
        <v>5.8655785215284695E-3</v>
      </c>
      <c r="N21" s="10"/>
      <c r="O21" s="38">
        <f t="shared" si="5"/>
        <v>2.9397206409162054E-3</v>
      </c>
      <c r="P21" s="36"/>
      <c r="Q21" s="38">
        <f>O21-O22</f>
        <v>2.9397206409162054E-3</v>
      </c>
    </row>
    <row r="22" spans="2:17" x14ac:dyDescent="0.4">
      <c r="B22" s="18" t="s">
        <v>13</v>
      </c>
      <c r="C22" s="19" t="s">
        <v>0</v>
      </c>
      <c r="D22" s="17">
        <v>39638</v>
      </c>
      <c r="E22" s="9">
        <f t="shared" si="1"/>
        <v>0</v>
      </c>
      <c r="F22" s="29">
        <f>PRODUCT(F11:F20)</f>
        <v>2.9397206409161815E-3</v>
      </c>
      <c r="G22" s="36">
        <f>SUM(G12:G21)</f>
        <v>1.9813741583469717</v>
      </c>
      <c r="H22" s="36">
        <f>SUM(H11:H21)</f>
        <v>1</v>
      </c>
      <c r="I22" s="2">
        <f>SUMPRODUCT(H11:H21,I11:I21)</f>
        <v>1.9843000162275841</v>
      </c>
      <c r="K22" s="10">
        <f>SUM(K11:K21)</f>
        <v>1</v>
      </c>
      <c r="M22" s="10">
        <f>SUM(M12:M21)</f>
        <v>1.9843000162275843</v>
      </c>
      <c r="O22" s="10"/>
      <c r="Q22" s="10">
        <f>SUM(Q11:Q21)</f>
        <v>1</v>
      </c>
    </row>
    <row r="23" spans="2:17" ht="13.5" thickBot="1" x14ac:dyDescent="0.45">
      <c r="B23" s="20"/>
      <c r="C23" s="21" t="s">
        <v>14</v>
      </c>
      <c r="D23" s="22">
        <v>4017</v>
      </c>
      <c r="F23" s="29">
        <f>1-F22</f>
        <v>0.99706027935908381</v>
      </c>
    </row>
    <row r="24" spans="2:17" x14ac:dyDescent="0.4">
      <c r="B24" s="1"/>
      <c r="C24" s="1"/>
      <c r="D24" s="1"/>
      <c r="I24" s="10"/>
    </row>
    <row r="25" spans="2:17" x14ac:dyDescent="0.4">
      <c r="B25" s="1" t="s">
        <v>64</v>
      </c>
      <c r="G25" s="10"/>
      <c r="I25" s="10"/>
    </row>
    <row r="26" spans="2:17" ht="15.4" x14ac:dyDescent="0.55000000000000004">
      <c r="B26" s="1" t="s">
        <v>65</v>
      </c>
      <c r="C26" s="1"/>
      <c r="D26" s="1"/>
      <c r="E26" s="40">
        <f>D23/E11</f>
        <v>3.2756887141637452E-3</v>
      </c>
      <c r="F26" s="2" t="s">
        <v>73</v>
      </c>
    </row>
    <row r="27" spans="2:17" ht="15.4" x14ac:dyDescent="0.55000000000000004">
      <c r="B27" s="2" t="s">
        <v>66</v>
      </c>
      <c r="D27" s="9"/>
      <c r="E27" s="41">
        <f>D23/(I22*E11)</f>
        <v>1.6508031484025593E-3</v>
      </c>
      <c r="F27" s="2" t="s">
        <v>72</v>
      </c>
    </row>
    <row r="28" spans="2:17" ht="15.4" x14ac:dyDescent="0.55000000000000004">
      <c r="B28" s="2" t="s">
        <v>67</v>
      </c>
      <c r="F28" s="2" t="s">
        <v>58</v>
      </c>
    </row>
    <row r="29" spans="2:17" x14ac:dyDescent="0.4">
      <c r="B29" s="2" t="s">
        <v>69</v>
      </c>
    </row>
    <row r="30" spans="2:17" x14ac:dyDescent="0.4">
      <c r="B30" s="2" t="s">
        <v>70</v>
      </c>
      <c r="L30" s="39" t="s">
        <v>71</v>
      </c>
      <c r="M30" s="10">
        <f>I22-SUM(G12:G20)</f>
        <v>5.8655785215284695E-3</v>
      </c>
    </row>
    <row r="31" spans="2:17" x14ac:dyDescent="0.4">
      <c r="B31" s="2" t="s">
        <v>68</v>
      </c>
    </row>
  </sheetData>
  <phoneticPr fontId="2" type="noConversion"/>
  <pageMargins left="0.78740157499999996" right="0.78740157499999996" top="0.984251969" bottom="0.984251969"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Equation.DSMT4" shapeId="2" r:id="rId4">
          <objectPr defaultSize="0" r:id="rId5">
            <anchor moveWithCells="1">
              <from>
                <xdr:col>5</xdr:col>
                <xdr:colOff>4763</xdr:colOff>
                <xdr:row>28</xdr:row>
                <xdr:rowOff>80963</xdr:rowOff>
              </from>
              <to>
                <xdr:col>10</xdr:col>
                <xdr:colOff>0</xdr:colOff>
                <xdr:row>31</xdr:row>
                <xdr:rowOff>52388</xdr:rowOff>
              </to>
            </anchor>
          </objectPr>
        </oleObject>
      </mc:Choice>
      <mc:Fallback>
        <oleObject progId="Equation.DSMT4"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77"/>
  <sheetViews>
    <sheetView topLeftCell="B19" workbookViewId="0">
      <selection activeCell="P1" sqref="P1"/>
    </sheetView>
  </sheetViews>
  <sheetFormatPr baseColWidth="10" defaultColWidth="11.33203125" defaultRowHeight="13.15" x14ac:dyDescent="0.4"/>
  <cols>
    <col min="1" max="1" width="8.33203125" style="45" customWidth="1"/>
    <col min="2" max="2" width="7.73046875" style="45" customWidth="1"/>
    <col min="3" max="23" width="5.59765625" style="45" customWidth="1"/>
    <col min="24" max="24" width="7.73046875" style="45" customWidth="1"/>
    <col min="25" max="25" width="2.9296875" style="45" customWidth="1"/>
    <col min="26" max="26" width="4.53125" style="45" customWidth="1"/>
    <col min="27" max="30" width="6" style="45" customWidth="1"/>
    <col min="31" max="31" width="7.265625" style="45" customWidth="1"/>
    <col min="32" max="32" width="7.73046875" style="45" customWidth="1"/>
    <col min="33" max="35" width="6.265625" style="45" customWidth="1"/>
    <col min="36" max="36" width="5.73046875" style="45" customWidth="1"/>
    <col min="37" max="37" width="5.33203125" style="45" customWidth="1"/>
    <col min="38" max="38" width="6.19921875" style="45" customWidth="1"/>
    <col min="39" max="41" width="6.53125" style="45" customWidth="1"/>
    <col min="42" max="42" width="6" style="45" customWidth="1"/>
    <col min="43" max="43" width="8.19921875" style="45" customWidth="1"/>
    <col min="44" max="44" width="6.73046875" style="45" customWidth="1"/>
    <col min="45" max="45" width="5.265625" style="45" customWidth="1"/>
    <col min="46" max="46" width="5.19921875" style="45" customWidth="1"/>
    <col min="47" max="16384" width="11.33203125" style="74"/>
  </cols>
  <sheetData>
    <row r="1" spans="1:24" x14ac:dyDescent="0.4">
      <c r="A1" s="44" t="s">
        <v>33</v>
      </c>
    </row>
    <row r="3" spans="1:24" x14ac:dyDescent="0.4">
      <c r="B3" s="45" t="s">
        <v>34</v>
      </c>
    </row>
    <row r="4" spans="1:24" x14ac:dyDescent="0.4">
      <c r="A4" s="46" t="s">
        <v>27</v>
      </c>
      <c r="B4" s="46" t="s">
        <v>78</v>
      </c>
      <c r="C4" s="47"/>
      <c r="D4" s="48"/>
      <c r="E4" s="48"/>
      <c r="F4" s="48"/>
      <c r="G4" s="48"/>
      <c r="H4" s="48"/>
      <c r="I4" s="48"/>
      <c r="J4" s="48"/>
      <c r="K4" s="48"/>
      <c r="L4" s="48"/>
      <c r="M4" s="48"/>
      <c r="N4" s="48"/>
      <c r="O4" s="48"/>
      <c r="P4" s="48"/>
      <c r="Q4" s="48"/>
      <c r="R4" s="48"/>
      <c r="S4" s="48"/>
      <c r="T4" s="48"/>
      <c r="U4" s="48"/>
      <c r="V4" s="48"/>
      <c r="W4" s="49"/>
    </row>
    <row r="5" spans="1:24" x14ac:dyDescent="0.4">
      <c r="A5" s="50" t="s">
        <v>28</v>
      </c>
      <c r="B5" s="50" t="s">
        <v>26</v>
      </c>
      <c r="C5" s="51"/>
      <c r="D5" s="52"/>
      <c r="F5" s="52"/>
      <c r="G5" s="52"/>
      <c r="H5" s="52"/>
      <c r="I5" s="53" t="s">
        <v>32</v>
      </c>
      <c r="J5" s="52"/>
      <c r="K5" s="52"/>
      <c r="L5" s="52"/>
      <c r="M5" s="52"/>
      <c r="N5" s="52"/>
      <c r="O5" s="52"/>
      <c r="P5" s="52"/>
      <c r="Q5" s="52"/>
      <c r="R5" s="52"/>
      <c r="S5" s="52"/>
      <c r="T5" s="52"/>
      <c r="U5" s="52"/>
      <c r="V5" s="52"/>
      <c r="W5" s="54"/>
    </row>
    <row r="6" spans="1:24" x14ac:dyDescent="0.4">
      <c r="A6" s="50" t="s">
        <v>31</v>
      </c>
      <c r="B6" s="50" t="s">
        <v>29</v>
      </c>
      <c r="C6" s="46"/>
      <c r="D6" s="46"/>
      <c r="E6" s="46"/>
      <c r="F6" s="46"/>
      <c r="G6" s="46"/>
      <c r="H6" s="46"/>
      <c r="I6" s="46"/>
      <c r="J6" s="46"/>
      <c r="K6" s="46"/>
      <c r="L6" s="46"/>
      <c r="M6" s="46"/>
      <c r="N6" s="46"/>
      <c r="O6" s="46"/>
      <c r="P6" s="46"/>
      <c r="Q6" s="46"/>
      <c r="R6" s="46"/>
      <c r="S6" s="46"/>
      <c r="T6" s="46"/>
      <c r="U6" s="46"/>
      <c r="V6" s="46"/>
      <c r="W6" s="46"/>
    </row>
    <row r="7" spans="1:24" x14ac:dyDescent="0.4">
      <c r="A7" s="55" t="s">
        <v>30</v>
      </c>
      <c r="B7" s="55" t="s">
        <v>30</v>
      </c>
      <c r="C7" s="55">
        <v>1970</v>
      </c>
      <c r="D7" s="55">
        <v>1971</v>
      </c>
      <c r="E7" s="55">
        <v>1972</v>
      </c>
      <c r="F7" s="55">
        <v>1973</v>
      </c>
      <c r="G7" s="55">
        <v>1974</v>
      </c>
      <c r="H7" s="55">
        <v>1975</v>
      </c>
      <c r="I7" s="55">
        <v>1976</v>
      </c>
      <c r="J7" s="55">
        <v>1977</v>
      </c>
      <c r="K7" s="55">
        <v>1978</v>
      </c>
      <c r="L7" s="55">
        <v>1979</v>
      </c>
      <c r="M7" s="55">
        <v>1980</v>
      </c>
      <c r="N7" s="55">
        <v>1981</v>
      </c>
      <c r="O7" s="55">
        <v>1982</v>
      </c>
      <c r="P7" s="55">
        <v>1983</v>
      </c>
      <c r="Q7" s="55">
        <v>1984</v>
      </c>
      <c r="R7" s="55">
        <v>1985</v>
      </c>
      <c r="S7" s="55">
        <v>1986</v>
      </c>
      <c r="T7" s="55">
        <v>1987</v>
      </c>
      <c r="U7" s="55">
        <v>1988</v>
      </c>
      <c r="V7" s="55">
        <v>1989</v>
      </c>
      <c r="W7" s="55">
        <v>1990</v>
      </c>
    </row>
    <row r="8" spans="1:24" x14ac:dyDescent="0.4">
      <c r="A8" s="56">
        <v>1970</v>
      </c>
      <c r="B8" s="56">
        <v>99</v>
      </c>
      <c r="C8" s="57">
        <v>1</v>
      </c>
      <c r="D8" s="57">
        <v>9</v>
      </c>
      <c r="E8" s="57">
        <v>38</v>
      </c>
      <c r="F8" s="57">
        <v>24</v>
      </c>
      <c r="G8" s="57">
        <v>11</v>
      </c>
      <c r="H8" s="57">
        <v>6</v>
      </c>
      <c r="I8" s="57">
        <v>2</v>
      </c>
      <c r="J8" s="57">
        <v>0</v>
      </c>
      <c r="K8" s="57">
        <v>0</v>
      </c>
      <c r="L8" s="57">
        <v>1</v>
      </c>
      <c r="M8" s="57">
        <v>1</v>
      </c>
      <c r="N8" s="57"/>
      <c r="O8" s="57"/>
      <c r="P8" s="57"/>
      <c r="Q8" s="57"/>
      <c r="R8" s="57"/>
      <c r="S8" s="57"/>
      <c r="T8" s="57"/>
      <c r="U8" s="57"/>
      <c r="V8" s="57"/>
      <c r="W8" s="57"/>
      <c r="X8" s="58">
        <f>SUM(C8:W8)/B8</f>
        <v>0.93939393939393945</v>
      </c>
    </row>
    <row r="9" spans="1:24" x14ac:dyDescent="0.4">
      <c r="A9" s="57">
        <v>1971</v>
      </c>
      <c r="B9" s="57">
        <v>119</v>
      </c>
      <c r="C9" s="57"/>
      <c r="D9" s="57">
        <v>0</v>
      </c>
      <c r="E9" s="57">
        <v>9</v>
      </c>
      <c r="F9" s="57">
        <v>47</v>
      </c>
      <c r="G9" s="57">
        <v>37</v>
      </c>
      <c r="H9" s="57">
        <v>7</v>
      </c>
      <c r="I9" s="57">
        <v>6</v>
      </c>
      <c r="J9" s="57">
        <v>3</v>
      </c>
      <c r="K9" s="57">
        <v>1</v>
      </c>
      <c r="L9" s="57">
        <v>0</v>
      </c>
      <c r="M9" s="57">
        <v>0</v>
      </c>
      <c r="N9" s="57">
        <v>0</v>
      </c>
      <c r="O9" s="57"/>
      <c r="P9" s="57"/>
      <c r="Q9" s="57"/>
      <c r="R9" s="57"/>
      <c r="S9" s="57"/>
      <c r="T9" s="57"/>
      <c r="U9" s="57"/>
      <c r="V9" s="57"/>
      <c r="W9" s="57"/>
      <c r="X9" s="58">
        <f t="shared" ref="X9:X28" si="0">SUM(C9:W9)/B9</f>
        <v>0.92436974789915971</v>
      </c>
    </row>
    <row r="10" spans="1:24" x14ac:dyDescent="0.4">
      <c r="A10" s="57">
        <v>1972</v>
      </c>
      <c r="B10" s="57">
        <v>121</v>
      </c>
      <c r="C10" s="57"/>
      <c r="D10" s="57"/>
      <c r="E10" s="57">
        <v>0</v>
      </c>
      <c r="F10" s="57">
        <v>17</v>
      </c>
      <c r="G10" s="57">
        <v>51</v>
      </c>
      <c r="H10" s="57">
        <v>26</v>
      </c>
      <c r="I10" s="57">
        <v>9</v>
      </c>
      <c r="J10" s="57">
        <v>4</v>
      </c>
      <c r="K10" s="57">
        <v>2</v>
      </c>
      <c r="L10" s="57">
        <v>2</v>
      </c>
      <c r="M10" s="57">
        <v>0</v>
      </c>
      <c r="N10" s="57">
        <v>0</v>
      </c>
      <c r="O10" s="57">
        <v>4</v>
      </c>
      <c r="P10" s="57"/>
      <c r="Q10" s="57"/>
      <c r="R10" s="57"/>
      <c r="S10" s="57"/>
      <c r="T10" s="57"/>
      <c r="U10" s="57"/>
      <c r="V10" s="57"/>
      <c r="W10" s="57"/>
      <c r="X10" s="58">
        <f t="shared" si="0"/>
        <v>0.95041322314049592</v>
      </c>
    </row>
    <row r="11" spans="1:24" x14ac:dyDescent="0.4">
      <c r="A11" s="57">
        <v>1973</v>
      </c>
      <c r="B11" s="57">
        <v>123</v>
      </c>
      <c r="C11" s="57"/>
      <c r="D11" s="57"/>
      <c r="E11" s="57"/>
      <c r="F11" s="57">
        <v>0</v>
      </c>
      <c r="G11" s="57">
        <v>11</v>
      </c>
      <c r="H11" s="57">
        <v>55</v>
      </c>
      <c r="I11" s="57">
        <v>30</v>
      </c>
      <c r="J11" s="57">
        <v>5</v>
      </c>
      <c r="K11" s="57">
        <v>7</v>
      </c>
      <c r="L11" s="57">
        <v>1</v>
      </c>
      <c r="M11" s="57">
        <v>1</v>
      </c>
      <c r="N11" s="57">
        <v>0</v>
      </c>
      <c r="O11" s="57">
        <v>1</v>
      </c>
      <c r="P11" s="57">
        <v>1</v>
      </c>
      <c r="Q11" s="57"/>
      <c r="R11" s="57"/>
      <c r="S11" s="57"/>
      <c r="T11" s="57"/>
      <c r="U11" s="57"/>
      <c r="V11" s="57"/>
      <c r="W11" s="57"/>
      <c r="X11" s="58">
        <f t="shared" si="0"/>
        <v>0.91056910569105687</v>
      </c>
    </row>
    <row r="12" spans="1:24" x14ac:dyDescent="0.4">
      <c r="A12" s="57">
        <v>1974</v>
      </c>
      <c r="B12" s="57">
        <v>159</v>
      </c>
      <c r="C12" s="57"/>
      <c r="D12" s="57"/>
      <c r="E12" s="57"/>
      <c r="F12" s="57"/>
      <c r="G12" s="57">
        <v>2</v>
      </c>
      <c r="H12" s="57">
        <v>12</v>
      </c>
      <c r="I12" s="57">
        <v>68</v>
      </c>
      <c r="J12" s="57">
        <v>40</v>
      </c>
      <c r="K12" s="57">
        <v>10</v>
      </c>
      <c r="L12" s="57">
        <v>7</v>
      </c>
      <c r="M12" s="57">
        <v>2</v>
      </c>
      <c r="N12" s="57">
        <v>3</v>
      </c>
      <c r="O12" s="57">
        <v>1</v>
      </c>
      <c r="P12" s="57">
        <v>1</v>
      </c>
      <c r="Q12" s="57">
        <v>2</v>
      </c>
      <c r="R12" s="57"/>
      <c r="S12" s="57"/>
      <c r="T12" s="57"/>
      <c r="U12" s="57"/>
      <c r="V12" s="57"/>
      <c r="W12" s="57"/>
      <c r="X12" s="58">
        <f t="shared" si="0"/>
        <v>0.9308176100628931</v>
      </c>
    </row>
    <row r="13" spans="1:24" x14ac:dyDescent="0.4">
      <c r="A13" s="57">
        <v>1975</v>
      </c>
      <c r="B13" s="57">
        <v>110</v>
      </c>
      <c r="C13" s="57"/>
      <c r="D13" s="57"/>
      <c r="E13" s="57"/>
      <c r="F13" s="57"/>
      <c r="G13" s="57"/>
      <c r="H13" s="57">
        <v>0</v>
      </c>
      <c r="I13" s="57">
        <v>10</v>
      </c>
      <c r="J13" s="57">
        <v>40</v>
      </c>
      <c r="K13" s="57">
        <v>30</v>
      </c>
      <c r="L13" s="57">
        <v>6</v>
      </c>
      <c r="M13" s="57">
        <v>6</v>
      </c>
      <c r="N13" s="57">
        <v>1</v>
      </c>
      <c r="O13" s="57">
        <v>2</v>
      </c>
      <c r="P13" s="57">
        <v>1</v>
      </c>
      <c r="Q13" s="57">
        <v>1</v>
      </c>
      <c r="R13" s="57">
        <v>0</v>
      </c>
      <c r="S13" s="57"/>
      <c r="T13" s="57"/>
      <c r="U13" s="57"/>
      <c r="V13" s="57"/>
      <c r="W13" s="57"/>
      <c r="X13" s="58">
        <f t="shared" si="0"/>
        <v>0.88181818181818183</v>
      </c>
    </row>
    <row r="14" spans="1:24" x14ac:dyDescent="0.4">
      <c r="A14" s="57">
        <v>1976</v>
      </c>
      <c r="B14" s="57">
        <v>161</v>
      </c>
      <c r="C14" s="57"/>
      <c r="D14" s="57"/>
      <c r="E14" s="57"/>
      <c r="F14" s="57"/>
      <c r="G14" s="57"/>
      <c r="H14" s="57"/>
      <c r="I14" s="57">
        <v>0</v>
      </c>
      <c r="J14" s="57">
        <v>13</v>
      </c>
      <c r="K14" s="57">
        <v>66</v>
      </c>
      <c r="L14" s="57">
        <v>42</v>
      </c>
      <c r="M14" s="57">
        <v>12</v>
      </c>
      <c r="N14" s="57">
        <v>10</v>
      </c>
      <c r="O14" s="57">
        <v>6</v>
      </c>
      <c r="P14" s="57">
        <v>2</v>
      </c>
      <c r="Q14" s="57">
        <v>0</v>
      </c>
      <c r="R14" s="57">
        <v>2</v>
      </c>
      <c r="S14" s="57">
        <v>2</v>
      </c>
      <c r="T14" s="57"/>
      <c r="U14" s="57"/>
      <c r="V14" s="57"/>
      <c r="W14" s="57"/>
      <c r="X14" s="58">
        <f t="shared" si="0"/>
        <v>0.96273291925465843</v>
      </c>
    </row>
    <row r="15" spans="1:24" x14ac:dyDescent="0.4">
      <c r="A15" s="57">
        <v>1977</v>
      </c>
      <c r="B15" s="57">
        <v>137</v>
      </c>
      <c r="C15" s="57"/>
      <c r="D15" s="57"/>
      <c r="E15" s="57"/>
      <c r="F15" s="57"/>
      <c r="G15" s="57"/>
      <c r="H15" s="57"/>
      <c r="I15" s="57"/>
      <c r="J15" s="57">
        <v>3</v>
      </c>
      <c r="K15" s="57">
        <v>12</v>
      </c>
      <c r="L15" s="57">
        <v>64</v>
      </c>
      <c r="M15" s="57">
        <v>29</v>
      </c>
      <c r="N15" s="57">
        <v>16</v>
      </c>
      <c r="O15" s="57">
        <v>6</v>
      </c>
      <c r="P15" s="57">
        <v>1</v>
      </c>
      <c r="Q15" s="57">
        <v>2</v>
      </c>
      <c r="R15" s="57">
        <v>0</v>
      </c>
      <c r="S15" s="57">
        <v>0</v>
      </c>
      <c r="T15" s="57">
        <v>1</v>
      </c>
      <c r="U15" s="57"/>
      <c r="V15" s="57"/>
      <c r="W15" s="57"/>
      <c r="X15" s="58">
        <f t="shared" si="0"/>
        <v>0.97810218978102192</v>
      </c>
    </row>
    <row r="16" spans="1:24" x14ac:dyDescent="0.4">
      <c r="A16" s="57">
        <v>1978</v>
      </c>
      <c r="B16" s="57">
        <v>149</v>
      </c>
      <c r="C16" s="57"/>
      <c r="D16" s="57"/>
      <c r="E16" s="57"/>
      <c r="F16" s="57"/>
      <c r="G16" s="57"/>
      <c r="H16" s="57"/>
      <c r="I16" s="57"/>
      <c r="J16" s="57"/>
      <c r="K16" s="57">
        <v>0</v>
      </c>
      <c r="L16" s="57">
        <v>7</v>
      </c>
      <c r="M16" s="57">
        <v>55</v>
      </c>
      <c r="N16" s="57">
        <v>54</v>
      </c>
      <c r="O16" s="57">
        <v>14</v>
      </c>
      <c r="P16" s="57">
        <v>7</v>
      </c>
      <c r="Q16" s="57">
        <v>1</v>
      </c>
      <c r="R16" s="57">
        <v>2</v>
      </c>
      <c r="S16" s="57">
        <v>2</v>
      </c>
      <c r="T16" s="57">
        <v>1</v>
      </c>
      <c r="U16" s="57">
        <v>0</v>
      </c>
      <c r="V16" s="57"/>
      <c r="W16" s="57"/>
      <c r="X16" s="58">
        <f t="shared" si="0"/>
        <v>0.95973154362416102</v>
      </c>
    </row>
    <row r="17" spans="1:36" x14ac:dyDescent="0.4">
      <c r="A17" s="57">
        <v>1979</v>
      </c>
      <c r="B17" s="57">
        <v>162</v>
      </c>
      <c r="C17" s="57"/>
      <c r="D17" s="57"/>
      <c r="E17" s="57"/>
      <c r="F17" s="57"/>
      <c r="G17" s="57"/>
      <c r="H17" s="57"/>
      <c r="I17" s="57"/>
      <c r="J17" s="57"/>
      <c r="K17" s="57"/>
      <c r="L17" s="57">
        <v>1</v>
      </c>
      <c r="M17" s="57">
        <v>17</v>
      </c>
      <c r="N17" s="57">
        <v>61</v>
      </c>
      <c r="O17" s="57">
        <v>40</v>
      </c>
      <c r="P17" s="57">
        <v>19</v>
      </c>
      <c r="Q17" s="57">
        <v>8</v>
      </c>
      <c r="R17" s="57">
        <v>2</v>
      </c>
      <c r="S17" s="57">
        <v>3</v>
      </c>
      <c r="T17" s="57">
        <v>3</v>
      </c>
      <c r="U17" s="57">
        <v>1</v>
      </c>
      <c r="V17" s="57">
        <v>1</v>
      </c>
      <c r="W17" s="57"/>
      <c r="X17" s="58">
        <f t="shared" si="0"/>
        <v>0.96296296296296291</v>
      </c>
    </row>
    <row r="18" spans="1:36" x14ac:dyDescent="0.4">
      <c r="A18" s="57">
        <v>1980</v>
      </c>
      <c r="B18" s="57">
        <v>180</v>
      </c>
      <c r="C18" s="57"/>
      <c r="D18" s="57"/>
      <c r="E18" s="57"/>
      <c r="F18" s="57"/>
      <c r="G18" s="57"/>
      <c r="H18" s="57"/>
      <c r="I18" s="57"/>
      <c r="J18" s="57"/>
      <c r="K18" s="57"/>
      <c r="L18" s="57"/>
      <c r="M18" s="57">
        <v>4</v>
      </c>
      <c r="N18" s="57">
        <v>5</v>
      </c>
      <c r="O18" s="57">
        <v>67</v>
      </c>
      <c r="P18" s="57">
        <v>45</v>
      </c>
      <c r="Q18" s="57">
        <v>23</v>
      </c>
      <c r="R18" s="57">
        <v>8</v>
      </c>
      <c r="S18" s="57">
        <v>4</v>
      </c>
      <c r="T18" s="57">
        <v>2</v>
      </c>
      <c r="U18" s="57">
        <v>0</v>
      </c>
      <c r="V18" s="57">
        <v>2</v>
      </c>
      <c r="W18" s="57">
        <v>0</v>
      </c>
      <c r="X18" s="58">
        <f t="shared" si="0"/>
        <v>0.88888888888888884</v>
      </c>
    </row>
    <row r="19" spans="1:36" x14ac:dyDescent="0.4">
      <c r="A19" s="57">
        <v>1981</v>
      </c>
      <c r="B19" s="57">
        <v>207</v>
      </c>
      <c r="C19" s="57"/>
      <c r="D19" s="57"/>
      <c r="E19" s="57"/>
      <c r="F19" s="57"/>
      <c r="G19" s="57"/>
      <c r="H19" s="57"/>
      <c r="I19" s="57"/>
      <c r="J19" s="57"/>
      <c r="K19" s="57"/>
      <c r="L19" s="57"/>
      <c r="M19" s="57"/>
      <c r="N19" s="57">
        <v>1</v>
      </c>
      <c r="O19" s="57">
        <v>12</v>
      </c>
      <c r="P19" s="57">
        <v>70</v>
      </c>
      <c r="Q19" s="57">
        <v>62</v>
      </c>
      <c r="R19" s="57">
        <v>23</v>
      </c>
      <c r="S19" s="57">
        <v>10</v>
      </c>
      <c r="T19" s="57">
        <v>8</v>
      </c>
      <c r="U19" s="57">
        <v>3</v>
      </c>
      <c r="V19" s="57">
        <v>5</v>
      </c>
      <c r="W19" s="57">
        <v>0</v>
      </c>
      <c r="X19" s="58">
        <f t="shared" si="0"/>
        <v>0.9371980676328503</v>
      </c>
    </row>
    <row r="20" spans="1:36" x14ac:dyDescent="0.4">
      <c r="A20" s="57">
        <v>1982</v>
      </c>
      <c r="B20" s="57">
        <v>185</v>
      </c>
      <c r="C20" s="57"/>
      <c r="D20" s="57"/>
      <c r="E20" s="57"/>
      <c r="F20" s="57"/>
      <c r="G20" s="57"/>
      <c r="H20" s="57"/>
      <c r="I20" s="57"/>
      <c r="J20" s="57"/>
      <c r="K20" s="57"/>
      <c r="L20" s="57"/>
      <c r="M20" s="57"/>
      <c r="N20" s="57"/>
      <c r="O20" s="70">
        <v>2</v>
      </c>
      <c r="P20" s="70">
        <v>11</v>
      </c>
      <c r="Q20" s="70">
        <v>62</v>
      </c>
      <c r="R20" s="70">
        <v>51</v>
      </c>
      <c r="S20" s="70">
        <v>22</v>
      </c>
      <c r="T20" s="70">
        <v>8</v>
      </c>
      <c r="U20" s="70">
        <v>4</v>
      </c>
      <c r="V20" s="70">
        <v>1</v>
      </c>
      <c r="W20" s="70">
        <v>3</v>
      </c>
      <c r="X20" s="58">
        <f t="shared" si="0"/>
        <v>0.88648648648648654</v>
      </c>
      <c r="Y20" s="73" t="s">
        <v>77</v>
      </c>
    </row>
    <row r="21" spans="1:36" x14ac:dyDescent="0.4">
      <c r="A21" s="57">
        <v>1983</v>
      </c>
      <c r="B21" s="57">
        <v>225</v>
      </c>
      <c r="C21" s="57"/>
      <c r="D21" s="57"/>
      <c r="E21" s="57"/>
      <c r="F21" s="57"/>
      <c r="G21" s="57"/>
      <c r="H21" s="57"/>
      <c r="I21" s="57"/>
      <c r="J21" s="57"/>
      <c r="K21" s="57"/>
      <c r="L21" s="57"/>
      <c r="M21" s="57"/>
      <c r="N21" s="57"/>
      <c r="O21" s="71"/>
      <c r="P21" s="71">
        <v>2</v>
      </c>
      <c r="Q21" s="71">
        <v>13</v>
      </c>
      <c r="R21" s="71">
        <v>88</v>
      </c>
      <c r="S21" s="71">
        <v>59</v>
      </c>
      <c r="T21" s="71">
        <v>19</v>
      </c>
      <c r="U21" s="71">
        <v>5</v>
      </c>
      <c r="V21" s="71">
        <v>9</v>
      </c>
      <c r="W21" s="71">
        <v>8</v>
      </c>
      <c r="X21" s="58">
        <f t="shared" si="0"/>
        <v>0.90222222222222226</v>
      </c>
    </row>
    <row r="22" spans="1:36" x14ac:dyDescent="0.4">
      <c r="A22" s="57">
        <v>1984</v>
      </c>
      <c r="B22" s="57">
        <v>239</v>
      </c>
      <c r="C22" s="57"/>
      <c r="D22" s="57"/>
      <c r="E22" s="57"/>
      <c r="F22" s="57"/>
      <c r="G22" s="57"/>
      <c r="H22" s="57"/>
      <c r="I22" s="57"/>
      <c r="J22" s="57"/>
      <c r="K22" s="57"/>
      <c r="L22" s="57"/>
      <c r="M22" s="57"/>
      <c r="N22" s="57"/>
      <c r="O22" s="71"/>
      <c r="P22" s="71"/>
      <c r="Q22" s="71">
        <v>0</v>
      </c>
      <c r="R22" s="71">
        <v>25</v>
      </c>
      <c r="S22" s="71">
        <v>76</v>
      </c>
      <c r="T22" s="71">
        <v>68</v>
      </c>
      <c r="U22" s="71">
        <v>28</v>
      </c>
      <c r="V22" s="71">
        <v>10</v>
      </c>
      <c r="W22" s="71">
        <v>6</v>
      </c>
      <c r="X22" s="58">
        <f t="shared" si="0"/>
        <v>0.89121338912133896</v>
      </c>
      <c r="AA22" s="45" t="s">
        <v>76</v>
      </c>
    </row>
    <row r="23" spans="1:36" x14ac:dyDescent="0.4">
      <c r="A23" s="57">
        <v>1985</v>
      </c>
      <c r="B23" s="57">
        <v>274</v>
      </c>
      <c r="C23" s="57"/>
      <c r="D23" s="57"/>
      <c r="E23" s="57"/>
      <c r="F23" s="57"/>
      <c r="G23" s="57"/>
      <c r="H23" s="57"/>
      <c r="I23" s="57"/>
      <c r="J23" s="57"/>
      <c r="K23" s="57"/>
      <c r="L23" s="57"/>
      <c r="M23" s="57"/>
      <c r="N23" s="57"/>
      <c r="O23" s="71"/>
      <c r="P23" s="71"/>
      <c r="Q23" s="71"/>
      <c r="R23" s="71">
        <v>0</v>
      </c>
      <c r="S23" s="71">
        <v>15</v>
      </c>
      <c r="T23" s="71">
        <v>102</v>
      </c>
      <c r="U23" s="71">
        <v>80</v>
      </c>
      <c r="V23" s="71">
        <v>21</v>
      </c>
      <c r="W23" s="71">
        <v>19</v>
      </c>
      <c r="X23" s="58">
        <f t="shared" si="0"/>
        <v>0.86496350364963503</v>
      </c>
      <c r="AB23" s="45" t="s">
        <v>52</v>
      </c>
      <c r="AC23" s="45" t="s">
        <v>53</v>
      </c>
      <c r="AJ23" s="45" t="s">
        <v>81</v>
      </c>
    </row>
    <row r="24" spans="1:36" x14ac:dyDescent="0.4">
      <c r="A24" s="57">
        <v>1986</v>
      </c>
      <c r="B24" s="57">
        <v>271</v>
      </c>
      <c r="C24" s="57"/>
      <c r="D24" s="57"/>
      <c r="E24" s="57"/>
      <c r="F24" s="57"/>
      <c r="G24" s="57"/>
      <c r="H24" s="57"/>
      <c r="I24" s="57"/>
      <c r="J24" s="57"/>
      <c r="K24" s="57"/>
      <c r="L24" s="57"/>
      <c r="M24" s="57"/>
      <c r="N24" s="57"/>
      <c r="O24" s="71"/>
      <c r="P24" s="71"/>
      <c r="Q24" s="71"/>
      <c r="R24" s="71"/>
      <c r="S24" s="71">
        <v>1</v>
      </c>
      <c r="T24" s="71">
        <v>17</v>
      </c>
      <c r="U24" s="71">
        <v>94</v>
      </c>
      <c r="V24" s="71">
        <v>79</v>
      </c>
      <c r="W24" s="71">
        <v>33</v>
      </c>
      <c r="X24" s="58">
        <f t="shared" si="0"/>
        <v>0.82656826568265684</v>
      </c>
      <c r="Z24" s="61" t="s">
        <v>54</v>
      </c>
      <c r="AA24" s="61" t="s">
        <v>55</v>
      </c>
      <c r="AB24" s="61" t="s">
        <v>40</v>
      </c>
      <c r="AC24" s="61" t="s">
        <v>41</v>
      </c>
      <c r="AD24" s="61" t="s">
        <v>42</v>
      </c>
      <c r="AE24" s="61" t="s">
        <v>43</v>
      </c>
      <c r="AF24" s="61" t="s">
        <v>44</v>
      </c>
      <c r="AG24" s="61" t="s">
        <v>45</v>
      </c>
      <c r="AH24" s="61" t="s">
        <v>47</v>
      </c>
      <c r="AI24" s="61" t="s">
        <v>46</v>
      </c>
      <c r="AJ24" s="61" t="s">
        <v>56</v>
      </c>
    </row>
    <row r="25" spans="1:36" x14ac:dyDescent="0.4">
      <c r="A25" s="57">
        <v>1987</v>
      </c>
      <c r="B25" s="57">
        <v>314</v>
      </c>
      <c r="C25" s="57"/>
      <c r="D25" s="57"/>
      <c r="E25" s="57"/>
      <c r="F25" s="57"/>
      <c r="G25" s="57"/>
      <c r="H25" s="57"/>
      <c r="I25" s="57"/>
      <c r="J25" s="57"/>
      <c r="K25" s="57"/>
      <c r="L25" s="57"/>
      <c r="M25" s="57"/>
      <c r="N25" s="57"/>
      <c r="O25" s="71"/>
      <c r="P25" s="71"/>
      <c r="Q25" s="71"/>
      <c r="R25" s="71"/>
      <c r="S25" s="71"/>
      <c r="T25" s="71">
        <v>3</v>
      </c>
      <c r="U25" s="71">
        <v>17</v>
      </c>
      <c r="V25" s="71">
        <v>101</v>
      </c>
      <c r="W25" s="71">
        <v>91</v>
      </c>
      <c r="X25" s="58">
        <f t="shared" si="0"/>
        <v>0.67515923566878977</v>
      </c>
      <c r="Z25" s="45">
        <v>1971</v>
      </c>
      <c r="AA25" s="45">
        <v>0.9</v>
      </c>
      <c r="AB25" s="45">
        <v>119</v>
      </c>
      <c r="AC25" s="45">
        <f t="shared" ref="AC25:AC35" si="1">AB25-AD25</f>
        <v>119</v>
      </c>
      <c r="AD25" s="45">
        <v>0</v>
      </c>
      <c r="AE25" s="45">
        <f t="shared" ref="AE25:AE35" si="2">AD25/AB25</f>
        <v>0</v>
      </c>
      <c r="AF25" s="62">
        <v>1000</v>
      </c>
      <c r="AG25" s="63">
        <f t="shared" ref="AG25:AG33" si="3">AF25*AE25</f>
        <v>0</v>
      </c>
      <c r="AH25" s="45">
        <f t="shared" ref="AH25:AH34" si="4">0.5*(AF25+AF26)</f>
        <v>1000</v>
      </c>
      <c r="AI25" s="67">
        <f t="shared" ref="AI25:AI33" si="5">AI26+AH25</f>
        <v>3789.9159663865548</v>
      </c>
      <c r="AJ25" s="63">
        <f t="shared" ref="AJ25:AJ35" si="6">AI25/AF25</f>
        <v>3.7899159663865549</v>
      </c>
    </row>
    <row r="26" spans="1:36" x14ac:dyDescent="0.4">
      <c r="A26" s="57">
        <v>1988</v>
      </c>
      <c r="B26" s="57">
        <v>342</v>
      </c>
      <c r="C26" s="57"/>
      <c r="D26" s="57"/>
      <c r="E26" s="57"/>
      <c r="F26" s="57"/>
      <c r="G26" s="57"/>
      <c r="H26" s="57"/>
      <c r="I26" s="57"/>
      <c r="J26" s="57"/>
      <c r="K26" s="57"/>
      <c r="L26" s="57"/>
      <c r="M26" s="57"/>
      <c r="N26" s="57"/>
      <c r="O26" s="71"/>
      <c r="P26" s="71"/>
      <c r="Q26" s="71"/>
      <c r="R26" s="71"/>
      <c r="S26" s="71"/>
      <c r="T26" s="71"/>
      <c r="U26" s="71">
        <v>3</v>
      </c>
      <c r="V26" s="71">
        <v>24</v>
      </c>
      <c r="W26" s="71">
        <v>108</v>
      </c>
      <c r="X26" s="58">
        <f t="shared" si="0"/>
        <v>0.39473684210526316</v>
      </c>
      <c r="Z26" s="45">
        <v>1972</v>
      </c>
      <c r="AA26" s="45">
        <v>1.5</v>
      </c>
      <c r="AB26" s="45">
        <f t="shared" ref="AB26:AB35" si="7">AB25-AD25</f>
        <v>119</v>
      </c>
      <c r="AC26" s="45">
        <f t="shared" si="1"/>
        <v>110</v>
      </c>
      <c r="AD26" s="45">
        <v>9</v>
      </c>
      <c r="AE26" s="45">
        <f t="shared" si="2"/>
        <v>7.5630252100840331E-2</v>
      </c>
      <c r="AF26" s="67">
        <f t="shared" ref="AF26:AF35" si="8">AF25-AG25</f>
        <v>1000</v>
      </c>
      <c r="AG26" s="63">
        <f t="shared" si="3"/>
        <v>75.630252100840337</v>
      </c>
      <c r="AH26" s="67">
        <f t="shared" si="4"/>
        <v>962.18487394957981</v>
      </c>
      <c r="AI26" s="67">
        <f t="shared" si="5"/>
        <v>2789.9159663865548</v>
      </c>
      <c r="AJ26" s="63">
        <f t="shared" si="6"/>
        <v>2.7899159663865549</v>
      </c>
    </row>
    <row r="27" spans="1:36" x14ac:dyDescent="0.4">
      <c r="A27" s="57">
        <v>1989</v>
      </c>
      <c r="B27" s="57">
        <v>358</v>
      </c>
      <c r="C27" s="57"/>
      <c r="D27" s="57"/>
      <c r="E27" s="57"/>
      <c r="F27" s="57"/>
      <c r="G27" s="57"/>
      <c r="H27" s="57"/>
      <c r="I27" s="57"/>
      <c r="J27" s="57"/>
      <c r="K27" s="57"/>
      <c r="L27" s="57"/>
      <c r="M27" s="57"/>
      <c r="N27" s="57"/>
      <c r="O27" s="71"/>
      <c r="P27" s="71"/>
      <c r="Q27" s="71"/>
      <c r="R27" s="71"/>
      <c r="S27" s="71"/>
      <c r="T27" s="71"/>
      <c r="U27" s="71"/>
      <c r="V27" s="71">
        <v>3</v>
      </c>
      <c r="W27" s="71">
        <v>30</v>
      </c>
      <c r="X27" s="58">
        <f t="shared" si="0"/>
        <v>9.217877094972067E-2</v>
      </c>
      <c r="Z27" s="45">
        <v>1973</v>
      </c>
      <c r="AA27" s="45">
        <v>2.5</v>
      </c>
      <c r="AB27" s="45">
        <f t="shared" si="7"/>
        <v>110</v>
      </c>
      <c r="AC27" s="45">
        <f t="shared" si="1"/>
        <v>63</v>
      </c>
      <c r="AD27" s="45">
        <v>47</v>
      </c>
      <c r="AE27" s="45">
        <f t="shared" si="2"/>
        <v>0.42727272727272725</v>
      </c>
      <c r="AF27" s="67">
        <f t="shared" si="8"/>
        <v>924.36974789915962</v>
      </c>
      <c r="AG27" s="63">
        <f t="shared" si="3"/>
        <v>394.95798319327724</v>
      </c>
      <c r="AH27" s="67">
        <f t="shared" si="4"/>
        <v>726.89075630252103</v>
      </c>
      <c r="AI27" s="67">
        <f t="shared" si="5"/>
        <v>1827.7310924369749</v>
      </c>
      <c r="AJ27" s="63">
        <f t="shared" si="6"/>
        <v>1.9772727272727275</v>
      </c>
    </row>
    <row r="28" spans="1:36" x14ac:dyDescent="0.4">
      <c r="A28" s="59">
        <v>1990</v>
      </c>
      <c r="B28" s="59">
        <v>367</v>
      </c>
      <c r="C28" s="59"/>
      <c r="D28" s="59"/>
      <c r="E28" s="59"/>
      <c r="F28" s="59"/>
      <c r="G28" s="59"/>
      <c r="H28" s="59"/>
      <c r="I28" s="59"/>
      <c r="J28" s="59"/>
      <c r="K28" s="59"/>
      <c r="L28" s="59"/>
      <c r="M28" s="59"/>
      <c r="N28" s="59"/>
      <c r="O28" s="72"/>
      <c r="P28" s="72"/>
      <c r="Q28" s="72"/>
      <c r="R28" s="72"/>
      <c r="S28" s="72"/>
      <c r="T28" s="72"/>
      <c r="U28" s="72"/>
      <c r="V28" s="72"/>
      <c r="W28" s="72">
        <v>3</v>
      </c>
      <c r="X28" s="58">
        <f t="shared" si="0"/>
        <v>8.1743869209809257E-3</v>
      </c>
      <c r="Z28" s="45">
        <v>1974</v>
      </c>
      <c r="AA28" s="45">
        <v>3.5</v>
      </c>
      <c r="AB28" s="45">
        <f t="shared" si="7"/>
        <v>63</v>
      </c>
      <c r="AC28" s="45">
        <f t="shared" si="1"/>
        <v>26</v>
      </c>
      <c r="AD28" s="45">
        <v>37</v>
      </c>
      <c r="AE28" s="45">
        <f t="shared" si="2"/>
        <v>0.58730158730158732</v>
      </c>
      <c r="AF28" s="67">
        <f t="shared" si="8"/>
        <v>529.41176470588243</v>
      </c>
      <c r="AG28" s="63">
        <f t="shared" si="3"/>
        <v>310.92436974789922</v>
      </c>
      <c r="AH28" s="67">
        <f t="shared" si="4"/>
        <v>373.94957983193285</v>
      </c>
      <c r="AI28" s="67">
        <f t="shared" si="5"/>
        <v>1100.840336134454</v>
      </c>
      <c r="AJ28" s="63">
        <f t="shared" si="6"/>
        <v>2.0793650793650795</v>
      </c>
    </row>
    <row r="29" spans="1:36" x14ac:dyDescent="0.4">
      <c r="Z29" s="45">
        <v>1975</v>
      </c>
      <c r="AA29" s="45">
        <v>4.5</v>
      </c>
      <c r="AB29" s="45">
        <f t="shared" si="7"/>
        <v>26</v>
      </c>
      <c r="AC29" s="45">
        <f t="shared" si="1"/>
        <v>19</v>
      </c>
      <c r="AD29" s="45">
        <v>7</v>
      </c>
      <c r="AE29" s="45">
        <f t="shared" si="2"/>
        <v>0.26923076923076922</v>
      </c>
      <c r="AF29" s="67">
        <f t="shared" si="8"/>
        <v>218.48739495798321</v>
      </c>
      <c r="AG29" s="63">
        <f t="shared" si="3"/>
        <v>58.82352941176471</v>
      </c>
      <c r="AH29" s="67">
        <f t="shared" si="4"/>
        <v>189.07563025210086</v>
      </c>
      <c r="AI29" s="67">
        <f t="shared" si="5"/>
        <v>726.89075630252114</v>
      </c>
      <c r="AJ29" s="63">
        <f t="shared" si="6"/>
        <v>3.3269230769230771</v>
      </c>
    </row>
    <row r="30" spans="1:36" x14ac:dyDescent="0.4">
      <c r="B30" s="45" t="s">
        <v>50</v>
      </c>
      <c r="Z30" s="45">
        <v>1976</v>
      </c>
      <c r="AA30" s="45">
        <v>5.5</v>
      </c>
      <c r="AB30" s="45">
        <f t="shared" si="7"/>
        <v>19</v>
      </c>
      <c r="AC30" s="45">
        <f t="shared" si="1"/>
        <v>13</v>
      </c>
      <c r="AD30" s="45">
        <v>6</v>
      </c>
      <c r="AE30" s="45">
        <f t="shared" si="2"/>
        <v>0.31578947368421051</v>
      </c>
      <c r="AF30" s="67">
        <f t="shared" si="8"/>
        <v>159.66386554621852</v>
      </c>
      <c r="AG30" s="63">
        <f t="shared" si="3"/>
        <v>50.420168067226896</v>
      </c>
      <c r="AH30" s="67">
        <f t="shared" si="4"/>
        <v>134.45378151260508</v>
      </c>
      <c r="AI30" s="67">
        <f t="shared" si="5"/>
        <v>537.8151260504203</v>
      </c>
      <c r="AJ30" s="63">
        <f t="shared" si="6"/>
        <v>3.3684210526315792</v>
      </c>
    </row>
    <row r="31" spans="1:36" x14ac:dyDescent="0.4">
      <c r="A31" s="46" t="s">
        <v>27</v>
      </c>
      <c r="B31" s="46" t="s">
        <v>78</v>
      </c>
      <c r="C31" s="47"/>
      <c r="D31" s="48"/>
      <c r="E31" s="48"/>
      <c r="F31" s="48"/>
      <c r="G31" s="48"/>
      <c r="H31" s="48"/>
      <c r="I31" s="48"/>
      <c r="J31" s="48"/>
      <c r="K31" s="48"/>
      <c r="L31" s="48"/>
      <c r="M31" s="48"/>
      <c r="N31" s="48"/>
      <c r="O31" s="48"/>
      <c r="P31" s="48"/>
      <c r="Q31" s="48"/>
      <c r="R31" s="48"/>
      <c r="S31" s="48"/>
      <c r="T31" s="48"/>
      <c r="U31" s="48"/>
      <c r="V31" s="48"/>
      <c r="W31" s="49"/>
      <c r="Z31" s="45">
        <v>1977</v>
      </c>
      <c r="AA31" s="45">
        <v>6.5</v>
      </c>
      <c r="AB31" s="45">
        <f t="shared" si="7"/>
        <v>13</v>
      </c>
      <c r="AC31" s="45">
        <f t="shared" si="1"/>
        <v>10</v>
      </c>
      <c r="AD31" s="45">
        <v>3</v>
      </c>
      <c r="AE31" s="45">
        <f t="shared" si="2"/>
        <v>0.23076923076923078</v>
      </c>
      <c r="AF31" s="67">
        <f t="shared" si="8"/>
        <v>109.24369747899162</v>
      </c>
      <c r="AG31" s="63">
        <f t="shared" si="3"/>
        <v>25.210084033613452</v>
      </c>
      <c r="AH31" s="67">
        <f t="shared" si="4"/>
        <v>96.638655462184886</v>
      </c>
      <c r="AI31" s="67">
        <f t="shared" si="5"/>
        <v>403.36134453781523</v>
      </c>
      <c r="AJ31" s="45">
        <f t="shared" si="6"/>
        <v>3.6923076923076925</v>
      </c>
    </row>
    <row r="32" spans="1:36" x14ac:dyDescent="0.4">
      <c r="A32" s="50" t="s">
        <v>28</v>
      </c>
      <c r="B32" s="50" t="s">
        <v>26</v>
      </c>
      <c r="C32" s="51"/>
      <c r="D32" s="52"/>
      <c r="F32" s="52"/>
      <c r="G32" s="52"/>
      <c r="H32" s="52"/>
      <c r="I32" s="53" t="s">
        <v>51</v>
      </c>
      <c r="J32" s="52"/>
      <c r="K32" s="52"/>
      <c r="L32" s="52"/>
      <c r="M32" s="52"/>
      <c r="N32" s="52"/>
      <c r="O32" s="52"/>
      <c r="P32" s="52"/>
      <c r="Q32" s="52"/>
      <c r="R32" s="52"/>
      <c r="S32" s="52"/>
      <c r="T32" s="52"/>
      <c r="U32" s="52"/>
      <c r="V32" s="52"/>
      <c r="W32" s="54"/>
      <c r="Z32" s="45">
        <v>1978</v>
      </c>
      <c r="AA32" s="45">
        <v>7.5</v>
      </c>
      <c r="AB32" s="45">
        <f t="shared" si="7"/>
        <v>10</v>
      </c>
      <c r="AC32" s="45">
        <f t="shared" si="1"/>
        <v>9</v>
      </c>
      <c r="AD32" s="45">
        <v>1</v>
      </c>
      <c r="AE32" s="45">
        <f t="shared" si="2"/>
        <v>0.1</v>
      </c>
      <c r="AF32" s="67">
        <f t="shared" si="8"/>
        <v>84.033613445378165</v>
      </c>
      <c r="AG32" s="63">
        <f t="shared" si="3"/>
        <v>8.4033613445378172</v>
      </c>
      <c r="AH32" s="67">
        <f t="shared" si="4"/>
        <v>79.831932773109259</v>
      </c>
      <c r="AI32" s="67">
        <f t="shared" si="5"/>
        <v>306.72268907563034</v>
      </c>
      <c r="AJ32" s="45">
        <f t="shared" si="6"/>
        <v>3.6500000000000004</v>
      </c>
    </row>
    <row r="33" spans="1:36" x14ac:dyDescent="0.4">
      <c r="A33" s="50" t="s">
        <v>31</v>
      </c>
      <c r="B33" s="50" t="s">
        <v>29</v>
      </c>
      <c r="C33" s="46"/>
      <c r="D33" s="46"/>
      <c r="E33" s="46"/>
      <c r="F33" s="46"/>
      <c r="G33" s="46"/>
      <c r="H33" s="46"/>
      <c r="I33" s="46"/>
      <c r="J33" s="46"/>
      <c r="K33" s="46"/>
      <c r="L33" s="46"/>
      <c r="M33" s="46"/>
      <c r="N33" s="46"/>
      <c r="O33" s="46"/>
      <c r="P33" s="46"/>
      <c r="Q33" s="46"/>
      <c r="R33" s="46"/>
      <c r="S33" s="46"/>
      <c r="T33" s="46"/>
      <c r="U33" s="46"/>
      <c r="V33" s="46"/>
      <c r="W33" s="46"/>
      <c r="Z33" s="45">
        <v>1979</v>
      </c>
      <c r="AA33" s="45">
        <v>8.5</v>
      </c>
      <c r="AB33" s="45">
        <f t="shared" si="7"/>
        <v>9</v>
      </c>
      <c r="AC33" s="45">
        <f t="shared" si="1"/>
        <v>9</v>
      </c>
      <c r="AD33" s="45">
        <v>0</v>
      </c>
      <c r="AE33" s="45">
        <f t="shared" si="2"/>
        <v>0</v>
      </c>
      <c r="AF33" s="67">
        <f t="shared" si="8"/>
        <v>75.630252100840352</v>
      </c>
      <c r="AG33" s="63">
        <f t="shared" si="3"/>
        <v>0</v>
      </c>
      <c r="AH33" s="67">
        <f t="shared" si="4"/>
        <v>75.630252100840352</v>
      </c>
      <c r="AI33" s="67">
        <f t="shared" si="5"/>
        <v>226.89075630252105</v>
      </c>
      <c r="AJ33" s="45">
        <f t="shared" si="6"/>
        <v>3</v>
      </c>
    </row>
    <row r="34" spans="1:36" x14ac:dyDescent="0.4">
      <c r="A34" s="55" t="s">
        <v>30</v>
      </c>
      <c r="B34" s="55" t="s">
        <v>30</v>
      </c>
      <c r="C34" s="55">
        <v>1970</v>
      </c>
      <c r="D34" s="55">
        <v>1971</v>
      </c>
      <c r="E34" s="55">
        <v>1972</v>
      </c>
      <c r="F34" s="55">
        <v>1973</v>
      </c>
      <c r="G34" s="55">
        <v>1974</v>
      </c>
      <c r="H34" s="55">
        <v>1975</v>
      </c>
      <c r="I34" s="55">
        <v>1976</v>
      </c>
      <c r="J34" s="55">
        <v>1977</v>
      </c>
      <c r="K34" s="55">
        <v>1978</v>
      </c>
      <c r="L34" s="55">
        <v>1979</v>
      </c>
      <c r="M34" s="55">
        <v>1980</v>
      </c>
      <c r="N34" s="55">
        <v>1981</v>
      </c>
      <c r="O34" s="55">
        <v>1982</v>
      </c>
      <c r="P34" s="55">
        <v>1983</v>
      </c>
      <c r="Q34" s="55">
        <v>1984</v>
      </c>
      <c r="R34" s="55">
        <v>1985</v>
      </c>
      <c r="S34" s="55">
        <v>1986</v>
      </c>
      <c r="T34" s="55">
        <v>1987</v>
      </c>
      <c r="U34" s="55">
        <v>1988</v>
      </c>
      <c r="V34" s="55">
        <v>1989</v>
      </c>
      <c r="W34" s="55">
        <v>1990</v>
      </c>
      <c r="Z34" s="45">
        <v>1980</v>
      </c>
      <c r="AA34" s="45">
        <v>9.5</v>
      </c>
      <c r="AB34" s="45">
        <f t="shared" si="7"/>
        <v>9</v>
      </c>
      <c r="AC34" s="45">
        <f t="shared" si="1"/>
        <v>9</v>
      </c>
      <c r="AD34" s="45">
        <v>0</v>
      </c>
      <c r="AE34" s="45">
        <f t="shared" si="2"/>
        <v>0</v>
      </c>
      <c r="AF34" s="67">
        <f t="shared" si="8"/>
        <v>75.630252100840352</v>
      </c>
      <c r="AG34" s="45">
        <f>AF34*AE35</f>
        <v>0</v>
      </c>
      <c r="AH34" s="67">
        <f t="shared" si="4"/>
        <v>75.630252100840352</v>
      </c>
      <c r="AI34" s="67">
        <f>AI35+AH34</f>
        <v>151.2605042016807</v>
      </c>
      <c r="AJ34" s="45">
        <f t="shared" si="6"/>
        <v>2</v>
      </c>
    </row>
    <row r="35" spans="1:36" x14ac:dyDescent="0.4">
      <c r="A35" s="56">
        <v>1970</v>
      </c>
      <c r="B35" s="56">
        <v>99</v>
      </c>
      <c r="C35" s="57">
        <f>1-C8/($B8)</f>
        <v>0.98989898989898994</v>
      </c>
      <c r="D35" s="57">
        <f>1-D8/($B8-SUM($C8:C8))</f>
        <v>0.90816326530612246</v>
      </c>
      <c r="E35" s="57">
        <f>1-E8/($B8-SUM($C8:D8))</f>
        <v>0.57303370786516861</v>
      </c>
      <c r="F35" s="57">
        <f>1-F8/($B8-SUM($C8:E8))</f>
        <v>0.52941176470588236</v>
      </c>
      <c r="G35" s="57">
        <f>1-G8/($B8-SUM($C8:F8))</f>
        <v>0.59259259259259256</v>
      </c>
      <c r="H35" s="57">
        <f>1-H8/($B8-SUM($C8:G8))</f>
        <v>0.625</v>
      </c>
      <c r="I35" s="57">
        <f>1-I8/($B8-SUM($C8:H8))</f>
        <v>0.8</v>
      </c>
      <c r="J35" s="57">
        <f>1-J8/($B8-SUM($C8:I8))</f>
        <v>1</v>
      </c>
      <c r="K35" s="57">
        <f>1-K8/($B8-SUM($C8:J8))</f>
        <v>1</v>
      </c>
      <c r="L35" s="57">
        <f>1-L8/($B8-SUM($C8:K8))</f>
        <v>0.875</v>
      </c>
      <c r="M35" s="57">
        <f>1-M8/($B8-SUM($C8:L8))</f>
        <v>0.85714285714285721</v>
      </c>
      <c r="N35" s="57"/>
      <c r="O35" s="57"/>
      <c r="P35" s="57"/>
      <c r="Q35" s="57"/>
      <c r="R35" s="57"/>
      <c r="S35" s="57"/>
      <c r="T35" s="57"/>
      <c r="U35" s="57"/>
      <c r="V35" s="57"/>
      <c r="W35" s="57"/>
      <c r="X35" s="60">
        <f>1-PRODUCT(C35:W35)</f>
        <v>0.93939393939393934</v>
      </c>
      <c r="Z35" s="45">
        <v>1981</v>
      </c>
      <c r="AA35" s="45">
        <v>10</v>
      </c>
      <c r="AB35" s="45">
        <f t="shared" si="7"/>
        <v>9</v>
      </c>
      <c r="AC35" s="45">
        <f t="shared" si="1"/>
        <v>9</v>
      </c>
      <c r="AD35" s="45">
        <v>0</v>
      </c>
      <c r="AE35" s="45">
        <f t="shared" si="2"/>
        <v>0</v>
      </c>
      <c r="AF35" s="67">
        <f t="shared" si="8"/>
        <v>75.630252100840352</v>
      </c>
      <c r="AG35" s="45">
        <v>0</v>
      </c>
      <c r="AH35" s="67">
        <f>AF35*1</f>
        <v>75.630252100840352</v>
      </c>
      <c r="AI35" s="67">
        <f>AH35</f>
        <v>75.630252100840352</v>
      </c>
      <c r="AJ35" s="45">
        <f t="shared" si="6"/>
        <v>1</v>
      </c>
    </row>
    <row r="36" spans="1:36" x14ac:dyDescent="0.4">
      <c r="A36" s="57">
        <v>1971</v>
      </c>
      <c r="B36" s="57">
        <v>119</v>
      </c>
      <c r="C36" s="57"/>
      <c r="D36" s="57">
        <f>1-D9/($B9-SUM($C9:C9))</f>
        <v>1</v>
      </c>
      <c r="E36" s="57">
        <f>1-E9/($B9-SUM($C9:D9))</f>
        <v>0.92436974789915971</v>
      </c>
      <c r="F36" s="57">
        <f>1-F9/($B9-SUM($C9:E9))</f>
        <v>0.57272727272727275</v>
      </c>
      <c r="G36" s="57">
        <f>1-G9/($B9-SUM($C9:F9))</f>
        <v>0.41269841269841268</v>
      </c>
      <c r="H36" s="57">
        <f>1-H9/($B9-SUM($C9:G9))</f>
        <v>0.73076923076923084</v>
      </c>
      <c r="I36" s="57">
        <f>1-I9/($B9-SUM($C9:H9))</f>
        <v>0.68421052631578949</v>
      </c>
      <c r="J36" s="57">
        <f>1-J9/($B9-SUM($C9:I9))</f>
        <v>0.76923076923076916</v>
      </c>
      <c r="K36" s="57">
        <f>1-K9/($B9-SUM($C9:J9))</f>
        <v>0.9</v>
      </c>
      <c r="L36" s="57">
        <f>1-L9/($B9-SUM($C9:K9))</f>
        <v>1</v>
      </c>
      <c r="M36" s="57">
        <f>1-M9/($B9-SUM($C9:L9))</f>
        <v>1</v>
      </c>
      <c r="N36" s="57">
        <f>1-N9/($B9-SUM($C9:M9))</f>
        <v>1</v>
      </c>
      <c r="O36" s="57"/>
      <c r="P36" s="57"/>
      <c r="Q36" s="57"/>
      <c r="R36" s="57"/>
      <c r="S36" s="57"/>
      <c r="T36" s="57"/>
      <c r="U36" s="57"/>
      <c r="V36" s="57"/>
      <c r="W36" s="57"/>
      <c r="X36" s="60">
        <f t="shared" ref="X36:X56" si="9">1-PRODUCT(C36:W36)</f>
        <v>0.92436974789915971</v>
      </c>
      <c r="AD36" s="45">
        <f>SUM(AD25:AD35)</f>
        <v>110</v>
      </c>
      <c r="AG36" s="45">
        <f>SUM(AG25:AG34)</f>
        <v>924.36974789915973</v>
      </c>
    </row>
    <row r="37" spans="1:36" x14ac:dyDescent="0.4">
      <c r="A37" s="57">
        <v>1972</v>
      </c>
      <c r="B37" s="57">
        <v>121</v>
      </c>
      <c r="C37" s="57"/>
      <c r="D37" s="57"/>
      <c r="E37" s="57">
        <f>1-E10/($B10-SUM($C10:D10))</f>
        <v>1</v>
      </c>
      <c r="F37" s="57">
        <f>1-F10/($B10-SUM($C10:E10))</f>
        <v>0.85950413223140498</v>
      </c>
      <c r="G37" s="57">
        <f>1-G10/($B10-SUM($C10:F10))</f>
        <v>0.50961538461538458</v>
      </c>
      <c r="H37" s="57">
        <f>1-H10/($B10-SUM($C10:G10))</f>
        <v>0.50943396226415094</v>
      </c>
      <c r="I37" s="57">
        <f>1-I10/($B10-SUM($C10:H10))</f>
        <v>0.66666666666666674</v>
      </c>
      <c r="J37" s="57">
        <f>1-J10/($B10-SUM($C10:I10))</f>
        <v>0.77777777777777779</v>
      </c>
      <c r="K37" s="57">
        <f>1-K10/($B10-SUM($C10:J10))</f>
        <v>0.85714285714285721</v>
      </c>
      <c r="L37" s="57">
        <f>1-L10/($B10-SUM($C10:K10))</f>
        <v>0.83333333333333337</v>
      </c>
      <c r="M37" s="57">
        <f>1-M10/($B10-SUM($C10:L10))</f>
        <v>1</v>
      </c>
      <c r="N37" s="57">
        <f>1-N10/($B10-SUM($C10:M10))</f>
        <v>1</v>
      </c>
      <c r="O37" s="57">
        <f>1-O10/($B10-SUM($C10:N10))</f>
        <v>0.6</v>
      </c>
      <c r="P37" s="57"/>
      <c r="Q37" s="57"/>
      <c r="R37" s="57"/>
      <c r="S37" s="57"/>
      <c r="T37" s="57"/>
      <c r="U37" s="57"/>
      <c r="V37" s="57"/>
      <c r="W37" s="57"/>
      <c r="X37" s="60">
        <f t="shared" si="9"/>
        <v>0.95041322314049581</v>
      </c>
      <c r="AE37" s="75" t="s">
        <v>79</v>
      </c>
      <c r="AF37" s="45">
        <f>AG36/AF25</f>
        <v>0.92436974789915971</v>
      </c>
      <c r="AH37" s="73" t="s">
        <v>82</v>
      </c>
    </row>
    <row r="38" spans="1:36" x14ac:dyDescent="0.4">
      <c r="A38" s="57">
        <v>1973</v>
      </c>
      <c r="B38" s="57">
        <v>123</v>
      </c>
      <c r="C38" s="57"/>
      <c r="D38" s="57"/>
      <c r="E38" s="57"/>
      <c r="F38" s="57">
        <f>1-F11/($B11-SUM($C11:E11))</f>
        <v>1</v>
      </c>
      <c r="G38" s="57">
        <f>1-G11/($B11-SUM($C11:F11))</f>
        <v>0.91056910569105687</v>
      </c>
      <c r="H38" s="57">
        <f>1-H11/($B11-SUM($C11:G11))</f>
        <v>0.5089285714285714</v>
      </c>
      <c r="I38" s="57">
        <f>1-I11/($B11-SUM($C11:H11))</f>
        <v>0.47368421052631582</v>
      </c>
      <c r="J38" s="57">
        <f>1-J11/($B11-SUM($C11:I11))</f>
        <v>0.81481481481481488</v>
      </c>
      <c r="K38" s="57">
        <f>1-K11/($B11-SUM($C11:J11))</f>
        <v>0.68181818181818188</v>
      </c>
      <c r="L38" s="57">
        <f>1-L11/($B11-SUM($C11:K11))</f>
        <v>0.93333333333333335</v>
      </c>
      <c r="M38" s="57">
        <f>1-M11/($B11-SUM($C11:L11))</f>
        <v>0.9285714285714286</v>
      </c>
      <c r="N38" s="57">
        <f>1-N11/($B11-SUM($C11:M11))</f>
        <v>1</v>
      </c>
      <c r="O38" s="57">
        <f>1-O11/($B11-SUM($C11:N11))</f>
        <v>0.92307692307692313</v>
      </c>
      <c r="P38" s="57">
        <f>1-P11/($B11-SUM($C11:O11))</f>
        <v>0.91666666666666663</v>
      </c>
      <c r="Q38" s="57"/>
      <c r="R38" s="57"/>
      <c r="S38" s="57"/>
      <c r="T38" s="57"/>
      <c r="U38" s="57"/>
      <c r="V38" s="57"/>
      <c r="W38" s="57"/>
      <c r="X38" s="60">
        <f t="shared" si="9"/>
        <v>0.91056910569105687</v>
      </c>
      <c r="AE38" s="75" t="s">
        <v>80</v>
      </c>
      <c r="AF38" s="68">
        <f>SUMPRODUCT(AA25:AA35,AG25:AG35)/SUM(AG25:AG35)</f>
        <v>3.1999999999999997</v>
      </c>
      <c r="AH38" s="73">
        <f>(AI25-AH33*11)/AF37/AF25</f>
        <v>3.2</v>
      </c>
      <c r="AI38" s="67"/>
    </row>
    <row r="39" spans="1:36" x14ac:dyDescent="0.4">
      <c r="A39" s="57">
        <v>1974</v>
      </c>
      <c r="B39" s="57">
        <v>159</v>
      </c>
      <c r="C39" s="57"/>
      <c r="D39" s="57"/>
      <c r="E39" s="57"/>
      <c r="F39" s="57"/>
      <c r="G39" s="57">
        <f>1-G12/($B12-SUM($C12:F12))</f>
        <v>0.98742138364779874</v>
      </c>
      <c r="H39" s="57">
        <f>1-H12/($B12-SUM($C12:G12))</f>
        <v>0.92356687898089174</v>
      </c>
      <c r="I39" s="57">
        <f>1-I12/($B12-SUM($C12:H12))</f>
        <v>0.53103448275862064</v>
      </c>
      <c r="J39" s="57">
        <f>1-J12/($B12-SUM($C12:I12))</f>
        <v>0.48051948051948057</v>
      </c>
      <c r="K39" s="57">
        <f>1-K12/($B12-SUM($C12:J12))</f>
        <v>0.72972972972972971</v>
      </c>
      <c r="L39" s="57">
        <f>1-L12/($B12-SUM($C12:K12))</f>
        <v>0.7407407407407407</v>
      </c>
      <c r="M39" s="57">
        <f>1-M12/($B12-SUM($C12:L12))</f>
        <v>0.9</v>
      </c>
      <c r="N39" s="57">
        <f>1-N12/($B12-SUM($C12:M12))</f>
        <v>0.83333333333333337</v>
      </c>
      <c r="O39" s="57">
        <f>1-O12/($B12-SUM($C12:N12))</f>
        <v>0.93333333333333335</v>
      </c>
      <c r="P39" s="57">
        <f>1-P12/($B12-SUM($C12:O12))</f>
        <v>0.9285714285714286</v>
      </c>
      <c r="Q39" s="57">
        <f>1-Q12/($B12-SUM($C12:P12))</f>
        <v>0.84615384615384615</v>
      </c>
      <c r="R39" s="57"/>
      <c r="S39" s="57"/>
      <c r="T39" s="57"/>
      <c r="U39" s="57"/>
      <c r="V39" s="57"/>
      <c r="W39" s="57"/>
      <c r="X39" s="60">
        <f t="shared" si="9"/>
        <v>0.9308176100628931</v>
      </c>
    </row>
    <row r="40" spans="1:36" x14ac:dyDescent="0.4">
      <c r="A40" s="57">
        <v>1975</v>
      </c>
      <c r="B40" s="57">
        <v>110</v>
      </c>
      <c r="C40" s="57"/>
      <c r="D40" s="57"/>
      <c r="E40" s="57"/>
      <c r="F40" s="57"/>
      <c r="G40" s="57"/>
      <c r="H40" s="57">
        <f>1-H13/($B13-SUM($C13:G13))</f>
        <v>1</v>
      </c>
      <c r="I40" s="57">
        <f>1-I13/($B13-SUM($C13:H13))</f>
        <v>0.90909090909090906</v>
      </c>
      <c r="J40" s="57">
        <f>1-J13/($B13-SUM($C13:I13))</f>
        <v>0.6</v>
      </c>
      <c r="K40" s="57">
        <f>1-K13/($B13-SUM($C13:J13))</f>
        <v>0.5</v>
      </c>
      <c r="L40" s="57">
        <f>1-L13/($B13-SUM($C13:K13))</f>
        <v>0.8</v>
      </c>
      <c r="M40" s="57">
        <f>1-M13/($B13-SUM($C13:L13))</f>
        <v>0.75</v>
      </c>
      <c r="N40" s="57">
        <f>1-N13/($B13-SUM($C13:M13))</f>
        <v>0.94444444444444442</v>
      </c>
      <c r="O40" s="57">
        <f>1-O13/($B13-SUM($C13:N13))</f>
        <v>0.88235294117647056</v>
      </c>
      <c r="P40" s="57">
        <f>1-P13/($B13-SUM($C13:O13))</f>
        <v>0.93333333333333335</v>
      </c>
      <c r="Q40" s="57">
        <f>1-Q13/($B13-SUM($C13:P13))</f>
        <v>0.9285714285714286</v>
      </c>
      <c r="R40" s="57">
        <f>1-R13/($B13-SUM($C13:Q13))</f>
        <v>1</v>
      </c>
      <c r="S40" s="57"/>
      <c r="T40" s="57"/>
      <c r="U40" s="57"/>
      <c r="V40" s="57"/>
      <c r="W40" s="57"/>
      <c r="X40" s="60">
        <f t="shared" si="9"/>
        <v>0.88181818181818183</v>
      </c>
      <c r="AB40" s="45" t="s">
        <v>57</v>
      </c>
    </row>
    <row r="41" spans="1:36" x14ac:dyDescent="0.4">
      <c r="A41" s="57">
        <v>1976</v>
      </c>
      <c r="B41" s="57">
        <v>161</v>
      </c>
      <c r="C41" s="57"/>
      <c r="D41" s="57"/>
      <c r="E41" s="57"/>
      <c r="F41" s="57"/>
      <c r="G41" s="57"/>
      <c r="H41" s="57"/>
      <c r="I41" s="57">
        <f>1-I14/($B14-SUM($C14:H14))</f>
        <v>1</v>
      </c>
      <c r="J41" s="57">
        <f>1-J14/($B14-SUM($C14:I14))</f>
        <v>0.91925465838509313</v>
      </c>
      <c r="K41" s="57">
        <f>1-K14/($B14-SUM($C14:J14))</f>
        <v>0.55405405405405406</v>
      </c>
      <c r="L41" s="57">
        <f>1-L14/($B14-SUM($C14:K14))</f>
        <v>0.48780487804878048</v>
      </c>
      <c r="M41" s="57">
        <f>1-M14/($B14-SUM($C14:L14))</f>
        <v>0.7</v>
      </c>
      <c r="N41" s="57">
        <f>1-N14/($B14-SUM($C14:M14))</f>
        <v>0.64285714285714279</v>
      </c>
      <c r="O41" s="57">
        <f>1-O14/($B14-SUM($C14:N14))</f>
        <v>0.66666666666666674</v>
      </c>
      <c r="P41" s="57">
        <f>1-P14/($B14-SUM($C14:O14))</f>
        <v>0.83333333333333337</v>
      </c>
      <c r="Q41" s="57">
        <f>1-Q14/($B14-SUM($C14:P14))</f>
        <v>1</v>
      </c>
      <c r="R41" s="57">
        <f>1-R14/($B14-SUM($C14:Q14))</f>
        <v>0.8</v>
      </c>
      <c r="S41" s="57">
        <f>1-S14/($B14-SUM($C14:R14))</f>
        <v>0.75</v>
      </c>
      <c r="T41" s="57"/>
      <c r="U41" s="57"/>
      <c r="V41" s="57"/>
      <c r="W41" s="57"/>
      <c r="X41" s="60">
        <f t="shared" si="9"/>
        <v>0.96273291925465843</v>
      </c>
    </row>
    <row r="42" spans="1:36" x14ac:dyDescent="0.4">
      <c r="A42" s="57">
        <v>1977</v>
      </c>
      <c r="B42" s="57">
        <v>137</v>
      </c>
      <c r="C42" s="57"/>
      <c r="D42" s="57"/>
      <c r="E42" s="57"/>
      <c r="F42" s="57"/>
      <c r="G42" s="57"/>
      <c r="H42" s="57"/>
      <c r="I42" s="57"/>
      <c r="J42" s="57">
        <f>1-J15/($B15-SUM($C15:I15))</f>
        <v>0.97810218978102192</v>
      </c>
      <c r="K42" s="57">
        <f>1-K15/($B15-SUM($C15:J15))</f>
        <v>0.91044776119402981</v>
      </c>
      <c r="L42" s="57">
        <f>1-L15/($B15-SUM($C15:K15))</f>
        <v>0.47540983606557374</v>
      </c>
      <c r="M42" s="57">
        <f>1-M15/($B15-SUM($C15:L15))</f>
        <v>0.5</v>
      </c>
      <c r="N42" s="57">
        <f>1-N15/($B15-SUM($C15:M15))</f>
        <v>0.44827586206896552</v>
      </c>
      <c r="O42" s="57">
        <f>1-O15/($B15-SUM($C15:N15))</f>
        <v>0.53846153846153844</v>
      </c>
      <c r="P42" s="57">
        <f>1-P15/($B15-SUM($C15:O15))</f>
        <v>0.85714285714285721</v>
      </c>
      <c r="Q42" s="57">
        <f>1-Q15/($B15-SUM($C15:P15))</f>
        <v>0.66666666666666674</v>
      </c>
      <c r="R42" s="57">
        <f>1-R15/($B15-SUM($C15:Q15))</f>
        <v>1</v>
      </c>
      <c r="S42" s="57">
        <f>1-S15/($B15-SUM($C15:R15))</f>
        <v>1</v>
      </c>
      <c r="T42" s="57">
        <f>1-T15/($B15-SUM($C15:S15))</f>
        <v>0.75</v>
      </c>
      <c r="U42" s="57"/>
      <c r="V42" s="57"/>
      <c r="W42" s="57"/>
      <c r="X42" s="60">
        <f t="shared" si="9"/>
        <v>0.97810218978102192</v>
      </c>
      <c r="Z42" s="61" t="s">
        <v>54</v>
      </c>
      <c r="AA42" s="61" t="s">
        <v>55</v>
      </c>
      <c r="AB42" s="45" t="s">
        <v>44</v>
      </c>
      <c r="AC42" s="45" t="s">
        <v>48</v>
      </c>
      <c r="AD42" s="45" t="s">
        <v>49</v>
      </c>
      <c r="AE42" s="45" t="s">
        <v>45</v>
      </c>
      <c r="AF42" s="45" t="s">
        <v>47</v>
      </c>
      <c r="AG42" s="45" t="s">
        <v>46</v>
      </c>
      <c r="AH42" s="45" t="s">
        <v>56</v>
      </c>
    </row>
    <row r="43" spans="1:36" x14ac:dyDescent="0.4">
      <c r="A43" s="57">
        <v>1978</v>
      </c>
      <c r="B43" s="57">
        <v>149</v>
      </c>
      <c r="C43" s="57"/>
      <c r="D43" s="57"/>
      <c r="E43" s="57"/>
      <c r="F43" s="57"/>
      <c r="G43" s="57"/>
      <c r="H43" s="57"/>
      <c r="I43" s="57"/>
      <c r="J43" s="57"/>
      <c r="K43" s="57">
        <f>1-K16/($B16-SUM($C16:J16))</f>
        <v>1</v>
      </c>
      <c r="L43" s="57">
        <f>1-L16/($B16-SUM($C16:K16))</f>
        <v>0.95302013422818788</v>
      </c>
      <c r="M43" s="57">
        <f>1-M16/($B16-SUM($C16:L16))</f>
        <v>0.61267605633802824</v>
      </c>
      <c r="N43" s="57">
        <f>1-N16/($B16-SUM($C16:M16))</f>
        <v>0.37931034482758619</v>
      </c>
      <c r="O43" s="57">
        <f>1-O16/($B16-SUM($C16:N16))</f>
        <v>0.57575757575757569</v>
      </c>
      <c r="P43" s="57">
        <f>1-P16/($B16-SUM($C16:O16))</f>
        <v>0.63157894736842102</v>
      </c>
      <c r="Q43" s="57">
        <f>1-Q16/($B16-SUM($C16:P16))</f>
        <v>0.91666666666666663</v>
      </c>
      <c r="R43" s="57">
        <f>1-R16/($B16-SUM($C16:Q16))</f>
        <v>0.81818181818181812</v>
      </c>
      <c r="S43" s="57">
        <f>1-S16/($B16-SUM($C16:R16))</f>
        <v>0.77777777777777779</v>
      </c>
      <c r="T43" s="57">
        <f>1-T16/($B16-SUM($C16:S16))</f>
        <v>0.85714285714285721</v>
      </c>
      <c r="U43" s="57">
        <f>1-U16/($B16-SUM($C16:T16))</f>
        <v>1</v>
      </c>
      <c r="V43" s="57"/>
      <c r="W43" s="57"/>
      <c r="X43" s="60">
        <f t="shared" si="9"/>
        <v>0.95973154362416113</v>
      </c>
      <c r="Z43" s="64">
        <v>0</v>
      </c>
      <c r="AA43" s="45">
        <v>0.9</v>
      </c>
      <c r="AB43" s="65">
        <v>1000</v>
      </c>
      <c r="AC43" s="58">
        <f>W55</f>
        <v>0.99182561307901906</v>
      </c>
      <c r="AD43" s="66">
        <f>1-AC43</f>
        <v>8.1743869209809361E-3</v>
      </c>
      <c r="AE43" s="65">
        <f>AB43-AB44</f>
        <v>8.1743869209809645</v>
      </c>
      <c r="AF43" s="67">
        <f>0.5*(AB43+AB44)</f>
        <v>995.91280653950957</v>
      </c>
      <c r="AG43" s="67">
        <f>SUM(AF43:AF53)</f>
        <v>3951.4941743251788</v>
      </c>
      <c r="AH43" s="63">
        <f>AG43/AB43</f>
        <v>3.951494174325179</v>
      </c>
    </row>
    <row r="44" spans="1:36" x14ac:dyDescent="0.4">
      <c r="A44" s="57">
        <v>1979</v>
      </c>
      <c r="B44" s="57">
        <v>162</v>
      </c>
      <c r="C44" s="57"/>
      <c r="D44" s="57"/>
      <c r="E44" s="57"/>
      <c r="F44" s="57"/>
      <c r="G44" s="57"/>
      <c r="H44" s="57"/>
      <c r="I44" s="57"/>
      <c r="J44" s="57"/>
      <c r="K44" s="57"/>
      <c r="L44" s="57">
        <f>1-L17/($B17-SUM($C17:K17))</f>
        <v>0.99382716049382713</v>
      </c>
      <c r="M44" s="57">
        <f>1-M17/($B17-SUM($C17:L17))</f>
        <v>0.89440993788819878</v>
      </c>
      <c r="N44" s="57">
        <f>1-N17/($B17-SUM($C17:M17))</f>
        <v>0.57638888888888884</v>
      </c>
      <c r="O44" s="57">
        <f>1-O17/($B17-SUM($C17:N17))</f>
        <v>0.51807228915662651</v>
      </c>
      <c r="P44" s="57">
        <f>1-P17/($B17-SUM($C17:O17))</f>
        <v>0.55813953488372092</v>
      </c>
      <c r="Q44" s="57">
        <f>1-Q17/($B17-SUM($C17:P17))</f>
        <v>0.66666666666666674</v>
      </c>
      <c r="R44" s="57">
        <f>1-R17/($B17-SUM($C17:Q17))</f>
        <v>0.875</v>
      </c>
      <c r="S44" s="57">
        <f>1-S17/($B17-SUM($C17:R17))</f>
        <v>0.7857142857142857</v>
      </c>
      <c r="T44" s="57">
        <f>1-T17/($B17-SUM($C17:S17))</f>
        <v>0.72727272727272729</v>
      </c>
      <c r="U44" s="57">
        <f>1-U17/($B17-SUM($C17:T17))</f>
        <v>0.875</v>
      </c>
      <c r="V44" s="57">
        <f>1-V17/($B17-SUM($C17:U17))</f>
        <v>0.85714285714285721</v>
      </c>
      <c r="W44" s="57"/>
      <c r="X44" s="60">
        <f t="shared" si="9"/>
        <v>0.96296296296296302</v>
      </c>
      <c r="Z44" s="45">
        <v>1</v>
      </c>
      <c r="AA44" s="45">
        <v>1.5</v>
      </c>
      <c r="AB44" s="65">
        <f>AB43*AC43</f>
        <v>991.82561307901904</v>
      </c>
      <c r="AC44" s="58">
        <f>W54</f>
        <v>0.91549295774647887</v>
      </c>
      <c r="AD44" s="66">
        <f t="shared" ref="AD44:AD53" si="10">1-AC44</f>
        <v>8.4507042253521125E-2</v>
      </c>
      <c r="AE44" s="65">
        <f t="shared" ref="AE44:AE52" si="11">AB44-AB45</f>
        <v>83.81624899259316</v>
      </c>
      <c r="AF44" s="67">
        <f t="shared" ref="AF44:AF53" si="12">0.5*(AB44+AB45)</f>
        <v>949.9174885827224</v>
      </c>
      <c r="AG44" s="67">
        <f t="shared" ref="AG44:AG46" si="13">SUM(AF44:AF54)</f>
        <v>2955.58136778567</v>
      </c>
      <c r="AH44" s="63">
        <f t="shared" ref="AH44:AH47" si="14">AG44/AB44</f>
        <v>2.9799405548828046</v>
      </c>
    </row>
    <row r="45" spans="1:36" x14ac:dyDescent="0.4">
      <c r="A45" s="57">
        <v>1980</v>
      </c>
      <c r="B45" s="57">
        <v>180</v>
      </c>
      <c r="C45" s="57"/>
      <c r="D45" s="57"/>
      <c r="E45" s="57"/>
      <c r="F45" s="57"/>
      <c r="G45" s="57"/>
      <c r="H45" s="57"/>
      <c r="I45" s="57"/>
      <c r="J45" s="57"/>
      <c r="K45" s="57"/>
      <c r="L45" s="57"/>
      <c r="M45" s="57">
        <f>1-M18/($B18-SUM($C18:L18))</f>
        <v>0.97777777777777775</v>
      </c>
      <c r="N45" s="57">
        <f>1-N18/($B18-SUM($C18:M18))</f>
        <v>0.97159090909090906</v>
      </c>
      <c r="O45" s="57">
        <f>1-O18/($B18-SUM($C18:N18))</f>
        <v>0.60818713450292394</v>
      </c>
      <c r="P45" s="57">
        <f>1-P18/($B18-SUM($C18:O18))</f>
        <v>0.56730769230769229</v>
      </c>
      <c r="Q45" s="57">
        <f>1-Q18/($B18-SUM($C18:P18))</f>
        <v>0.61016949152542366</v>
      </c>
      <c r="R45" s="57">
        <f>1-R18/($B18-SUM($C18:Q18))</f>
        <v>0.77777777777777779</v>
      </c>
      <c r="S45" s="57">
        <f>1-S18/($B18-SUM($C18:R18))</f>
        <v>0.85714285714285721</v>
      </c>
      <c r="T45" s="57">
        <f>1-T18/($B18-SUM($C18:S18))</f>
        <v>0.91666666666666663</v>
      </c>
      <c r="U45" s="57">
        <f>1-U18/($B18-SUM($C18:T18))</f>
        <v>1</v>
      </c>
      <c r="V45" s="57">
        <f>1-V18/($B18-SUM($C18:U18))</f>
        <v>0.90909090909090906</v>
      </c>
      <c r="W45" s="57">
        <f>1-W18/($B18-SUM($C18:V18))</f>
        <v>1</v>
      </c>
      <c r="X45" s="60">
        <f t="shared" si="9"/>
        <v>0.88888888888888884</v>
      </c>
      <c r="Z45" s="45">
        <v>2</v>
      </c>
      <c r="AA45" s="45">
        <v>2.5</v>
      </c>
      <c r="AB45" s="65">
        <f t="shared" ref="AB45:AB54" si="15">AB44*AC44</f>
        <v>908.00936408642588</v>
      </c>
      <c r="AC45" s="58">
        <f>W53</f>
        <v>0.65714285714285714</v>
      </c>
      <c r="AD45" s="66">
        <f t="shared" si="10"/>
        <v>0.34285714285714286</v>
      </c>
      <c r="AE45" s="65">
        <f t="shared" si="11"/>
        <v>311.31749625820316</v>
      </c>
      <c r="AF45" s="67">
        <f t="shared" si="12"/>
        <v>752.35061595732429</v>
      </c>
      <c r="AG45" s="67">
        <f t="shared" si="13"/>
        <v>2005.6638792029471</v>
      </c>
      <c r="AH45" s="63">
        <f t="shared" si="14"/>
        <v>2.2088581445642941</v>
      </c>
    </row>
    <row r="46" spans="1:36" x14ac:dyDescent="0.4">
      <c r="A46" s="57">
        <v>1981</v>
      </c>
      <c r="B46" s="57">
        <v>207</v>
      </c>
      <c r="C46" s="57"/>
      <c r="D46" s="57"/>
      <c r="E46" s="57"/>
      <c r="F46" s="57"/>
      <c r="G46" s="57"/>
      <c r="H46" s="57"/>
      <c r="I46" s="57"/>
      <c r="J46" s="57"/>
      <c r="K46" s="57"/>
      <c r="L46" s="57"/>
      <c r="M46" s="57"/>
      <c r="N46" s="57">
        <f>1-N19/($B19-SUM($C19:M19))</f>
        <v>0.99516908212560384</v>
      </c>
      <c r="O46" s="57">
        <f>1-O19/($B19-SUM($C19:N19))</f>
        <v>0.94174757281553401</v>
      </c>
      <c r="P46" s="57">
        <f>1-P19/($B19-SUM($C19:O19))</f>
        <v>0.63917525773195871</v>
      </c>
      <c r="Q46" s="57">
        <f>1-Q19/($B19-SUM($C19:P19))</f>
        <v>0.5</v>
      </c>
      <c r="R46" s="57">
        <f>1-R19/($B19-SUM($C19:Q19))</f>
        <v>0.62903225806451613</v>
      </c>
      <c r="S46" s="57">
        <f>1-S19/($B19-SUM($C19:R19))</f>
        <v>0.74358974358974361</v>
      </c>
      <c r="T46" s="57">
        <f>1-T19/($B19-SUM($C19:S19))</f>
        <v>0.72413793103448276</v>
      </c>
      <c r="U46" s="57">
        <f>1-U19/($B19-SUM($C19:T19))</f>
        <v>0.85714285714285721</v>
      </c>
      <c r="V46" s="57">
        <f>1-V19/($B19-SUM($C19:U19))</f>
        <v>0.72222222222222221</v>
      </c>
      <c r="W46" s="57">
        <f>1-W19/($B19-SUM($C19:V19))</f>
        <v>1</v>
      </c>
      <c r="X46" s="58">
        <f t="shared" si="9"/>
        <v>0.93719806763285018</v>
      </c>
      <c r="Z46" s="45">
        <v>3</v>
      </c>
      <c r="AA46" s="45">
        <v>3.5</v>
      </c>
      <c r="AB46" s="65">
        <f t="shared" si="15"/>
        <v>596.69186782822271</v>
      </c>
      <c r="AC46" s="58">
        <f>W52</f>
        <v>0.52849740932642486</v>
      </c>
      <c r="AD46" s="66">
        <f t="shared" si="10"/>
        <v>0.47150259067357514</v>
      </c>
      <c r="AE46" s="65">
        <f t="shared" si="11"/>
        <v>281.3417615148615</v>
      </c>
      <c r="AF46" s="67">
        <f t="shared" si="12"/>
        <v>456.02098707079199</v>
      </c>
      <c r="AG46" s="67">
        <f t="shared" si="13"/>
        <v>1253.3132632456231</v>
      </c>
      <c r="AH46" s="63">
        <f t="shared" si="14"/>
        <v>2.1004363069456651</v>
      </c>
    </row>
    <row r="47" spans="1:36" x14ac:dyDescent="0.4">
      <c r="A47" s="57">
        <v>1982</v>
      </c>
      <c r="B47" s="57">
        <v>185</v>
      </c>
      <c r="C47" s="57"/>
      <c r="D47" s="57"/>
      <c r="E47" s="57"/>
      <c r="F47" s="57"/>
      <c r="G47" s="57"/>
      <c r="H47" s="57"/>
      <c r="I47" s="57"/>
      <c r="J47" s="57"/>
      <c r="K47" s="57"/>
      <c r="L47" s="57"/>
      <c r="M47" s="57"/>
      <c r="N47" s="57"/>
      <c r="O47" s="71">
        <f>1-O20/($B20-SUM($C20:N20))</f>
        <v>0.98918918918918919</v>
      </c>
      <c r="P47" s="71">
        <f>1-P20/($B20-SUM($C20:O20))</f>
        <v>0.93989071038251371</v>
      </c>
      <c r="Q47" s="71">
        <f>1-Q20/($B20-SUM($C20:P20))</f>
        <v>0.63953488372093026</v>
      </c>
      <c r="R47" s="71">
        <f>1-R20/($B20-SUM($C20:Q20))</f>
        <v>0.53636363636363638</v>
      </c>
      <c r="S47" s="71">
        <f>1-S20/($B20-SUM($C20:R20))</f>
        <v>0.6271186440677966</v>
      </c>
      <c r="T47" s="71">
        <f>1-T20/($B20-SUM($C20:S20))</f>
        <v>0.78378378378378377</v>
      </c>
      <c r="U47" s="71">
        <f>1-U20/($B20-SUM($C20:T20))</f>
        <v>0.86206896551724133</v>
      </c>
      <c r="V47" s="71">
        <f>1-V20/($B20-SUM($C20:U20))</f>
        <v>0.96</v>
      </c>
      <c r="W47" s="71">
        <f>1-W20/($B20-SUM($C20:V20))</f>
        <v>0.875</v>
      </c>
      <c r="X47" s="58">
        <f t="shared" si="9"/>
        <v>0.88648648648648654</v>
      </c>
      <c r="Z47" s="45">
        <v>4</v>
      </c>
      <c r="AA47" s="45">
        <v>4.5</v>
      </c>
      <c r="AB47" s="65">
        <f t="shared" si="15"/>
        <v>315.35010631336121</v>
      </c>
      <c r="AC47" s="58">
        <f>W51</f>
        <v>0.58750000000000002</v>
      </c>
      <c r="AD47" s="66">
        <f t="shared" si="10"/>
        <v>0.41249999999999998</v>
      </c>
      <c r="AE47" s="65">
        <f t="shared" si="11"/>
        <v>130.08191885426149</v>
      </c>
      <c r="AF47" s="67">
        <f t="shared" si="12"/>
        <v>250.30914688623045</v>
      </c>
      <c r="AG47" s="67">
        <f>SUM(AF47:AF57)</f>
        <v>797.29227617483127</v>
      </c>
      <c r="AH47" s="63">
        <f t="shared" si="14"/>
        <v>2.5282765415736614</v>
      </c>
    </row>
    <row r="48" spans="1:36" x14ac:dyDescent="0.4">
      <c r="A48" s="57">
        <v>1983</v>
      </c>
      <c r="B48" s="57">
        <v>225</v>
      </c>
      <c r="C48" s="57"/>
      <c r="D48" s="57"/>
      <c r="E48" s="57"/>
      <c r="F48" s="57"/>
      <c r="G48" s="57"/>
      <c r="H48" s="57"/>
      <c r="I48" s="57"/>
      <c r="J48" s="57"/>
      <c r="K48" s="57"/>
      <c r="L48" s="57"/>
      <c r="M48" s="57"/>
      <c r="N48" s="57"/>
      <c r="O48" s="71"/>
      <c r="P48" s="71">
        <f>1-P21/($B21-SUM($C21:O21))</f>
        <v>0.99111111111111116</v>
      </c>
      <c r="Q48" s="71">
        <f>1-Q21/($B21-SUM($C21:P21))</f>
        <v>0.94170403587443952</v>
      </c>
      <c r="R48" s="71">
        <f>1-R21/($B21-SUM($C21:Q21))</f>
        <v>0.58095238095238089</v>
      </c>
      <c r="S48" s="71">
        <f>1-S21/($B21-SUM($C21:R21))</f>
        <v>0.51639344262295084</v>
      </c>
      <c r="T48" s="71">
        <f>1-T21/($B21-SUM($C21:S21))</f>
        <v>0.69841269841269837</v>
      </c>
      <c r="U48" s="71">
        <f>1-U21/($B21-SUM($C21:T21))</f>
        <v>0.88636363636363635</v>
      </c>
      <c r="V48" s="71">
        <f>1-V21/($B21-SUM($C21:U21))</f>
        <v>0.76923076923076916</v>
      </c>
      <c r="W48" s="71">
        <f>1-W21/($B21-SUM($C21:V21))</f>
        <v>0.73333333333333339</v>
      </c>
      <c r="X48" s="58">
        <f t="shared" si="9"/>
        <v>0.90222222222222226</v>
      </c>
      <c r="Z48" s="45">
        <v>5</v>
      </c>
      <c r="AA48" s="45">
        <v>5.5</v>
      </c>
      <c r="AB48" s="65">
        <f t="shared" si="15"/>
        <v>185.26818745909972</v>
      </c>
      <c r="AC48" s="58">
        <f>W50</f>
        <v>0.6607142857142857</v>
      </c>
      <c r="AD48" s="66">
        <f t="shared" si="10"/>
        <v>0.3392857142857143</v>
      </c>
      <c r="AE48" s="65">
        <f t="shared" si="11"/>
        <v>62.85884931648026</v>
      </c>
      <c r="AF48" s="67">
        <f t="shared" si="12"/>
        <v>153.8387628008596</v>
      </c>
      <c r="AG48" s="67">
        <f>SUM(AF48:AF58)</f>
        <v>546.98312928860071</v>
      </c>
      <c r="AH48" s="63">
        <f t="shared" ref="AH48:AH53" si="16">AG48/AB48</f>
        <v>2.9523856026785715</v>
      </c>
    </row>
    <row r="49" spans="1:34" x14ac:dyDescent="0.4">
      <c r="A49" s="57">
        <v>1984</v>
      </c>
      <c r="B49" s="57">
        <v>239</v>
      </c>
      <c r="C49" s="57"/>
      <c r="D49" s="57"/>
      <c r="E49" s="57"/>
      <c r="F49" s="57"/>
      <c r="G49" s="57"/>
      <c r="H49" s="57"/>
      <c r="I49" s="57"/>
      <c r="J49" s="57"/>
      <c r="K49" s="57"/>
      <c r="L49" s="57"/>
      <c r="M49" s="57"/>
      <c r="N49" s="57"/>
      <c r="O49" s="71"/>
      <c r="P49" s="71"/>
      <c r="Q49" s="71">
        <f>1-Q22/($B22-SUM($C22:P22))</f>
        <v>1</v>
      </c>
      <c r="R49" s="71">
        <f>1-R22/($B22-SUM($C22:Q22))</f>
        <v>0.89539748953974896</v>
      </c>
      <c r="S49" s="71">
        <f>1-S22/($B22-SUM($C22:R22))</f>
        <v>0.64485981308411211</v>
      </c>
      <c r="T49" s="71">
        <f>1-T22/($B22-SUM($C22:S22))</f>
        <v>0.50724637681159424</v>
      </c>
      <c r="U49" s="71">
        <f>1-U22/($B22-SUM($C22:T22))</f>
        <v>0.6</v>
      </c>
      <c r="V49" s="71">
        <f>1-V22/($B22-SUM($C22:U22))</f>
        <v>0.76190476190476186</v>
      </c>
      <c r="W49" s="71">
        <f>1-W22/($B22-SUM($C22:V22))</f>
        <v>0.8125</v>
      </c>
      <c r="X49" s="58">
        <f t="shared" si="9"/>
        <v>0.89121338912133896</v>
      </c>
      <c r="Z49" s="45">
        <v>6</v>
      </c>
      <c r="AA49" s="45">
        <v>6.5</v>
      </c>
      <c r="AB49" s="65">
        <f t="shared" si="15"/>
        <v>122.40933814261946</v>
      </c>
      <c r="AC49" s="58">
        <f>W49</f>
        <v>0.8125</v>
      </c>
      <c r="AD49" s="66">
        <f t="shared" si="10"/>
        <v>0.1875</v>
      </c>
      <c r="AE49" s="65">
        <f>AB49-AB50</f>
        <v>22.95175090174115</v>
      </c>
      <c r="AF49" s="67">
        <f t="shared" si="12"/>
        <v>110.93346269174889</v>
      </c>
      <c r="AG49" s="67">
        <f>SUM(AF49:AF59)</f>
        <v>393.14436648774114</v>
      </c>
      <c r="AH49" s="63">
        <f t="shared" si="16"/>
        <v>3.2117187500000002</v>
      </c>
    </row>
    <row r="50" spans="1:34" x14ac:dyDescent="0.4">
      <c r="A50" s="57">
        <v>1985</v>
      </c>
      <c r="B50" s="57">
        <v>274</v>
      </c>
      <c r="C50" s="57"/>
      <c r="D50" s="57"/>
      <c r="E50" s="57"/>
      <c r="F50" s="57"/>
      <c r="G50" s="57"/>
      <c r="H50" s="57"/>
      <c r="I50" s="57"/>
      <c r="J50" s="57"/>
      <c r="K50" s="57"/>
      <c r="L50" s="57"/>
      <c r="M50" s="57"/>
      <c r="N50" s="57"/>
      <c r="O50" s="71"/>
      <c r="P50" s="71"/>
      <c r="Q50" s="71"/>
      <c r="R50" s="71">
        <f>1-R23/($B23-SUM($C23:Q23))</f>
        <v>1</v>
      </c>
      <c r="S50" s="71">
        <f>1-S23/($B23-SUM($C23:R23))</f>
        <v>0.94525547445255476</v>
      </c>
      <c r="T50" s="71">
        <f>1-T23/($B23-SUM($C23:S23))</f>
        <v>0.60617760617760619</v>
      </c>
      <c r="U50" s="71">
        <f>1-U23/($B23-SUM($C23:T23))</f>
        <v>0.49044585987261147</v>
      </c>
      <c r="V50" s="71">
        <f>1-V23/($B23-SUM($C23:U23))</f>
        <v>0.72727272727272729</v>
      </c>
      <c r="W50" s="71">
        <f>1-W23/($B23-SUM($C23:V23))</f>
        <v>0.6607142857142857</v>
      </c>
      <c r="X50" s="58">
        <f t="shared" si="9"/>
        <v>0.86496350364963503</v>
      </c>
      <c r="Z50" s="45">
        <v>7</v>
      </c>
      <c r="AA50" s="45">
        <v>7.5</v>
      </c>
      <c r="AB50" s="65">
        <f t="shared" si="15"/>
        <v>99.457587240878311</v>
      </c>
      <c r="AC50" s="58">
        <f>W48</f>
        <v>0.73333333333333339</v>
      </c>
      <c r="AD50" s="66">
        <f t="shared" si="10"/>
        <v>0.26666666666666661</v>
      </c>
      <c r="AE50" s="65">
        <f t="shared" si="11"/>
        <v>26.522023264234207</v>
      </c>
      <c r="AF50" s="67">
        <f t="shared" si="12"/>
        <v>86.196575608761208</v>
      </c>
      <c r="AG50" s="67">
        <f t="shared" ref="AG50:AG52" si="17">SUM(AF50:AF60)</f>
        <v>282.21090379599224</v>
      </c>
      <c r="AH50" s="63">
        <f t="shared" si="16"/>
        <v>2.8375000000000004</v>
      </c>
    </row>
    <row r="51" spans="1:34" x14ac:dyDescent="0.4">
      <c r="A51" s="57">
        <v>1986</v>
      </c>
      <c r="B51" s="57">
        <v>271</v>
      </c>
      <c r="C51" s="57"/>
      <c r="D51" s="57"/>
      <c r="E51" s="57"/>
      <c r="F51" s="57"/>
      <c r="G51" s="57"/>
      <c r="H51" s="57"/>
      <c r="I51" s="57"/>
      <c r="J51" s="57"/>
      <c r="K51" s="57"/>
      <c r="L51" s="57"/>
      <c r="M51" s="57"/>
      <c r="N51" s="57"/>
      <c r="O51" s="71"/>
      <c r="P51" s="71"/>
      <c r="Q51" s="71"/>
      <c r="R51" s="71"/>
      <c r="S51" s="71">
        <f>1-S24/($B24-SUM($C24:R24))</f>
        <v>0.99630996309963105</v>
      </c>
      <c r="T51" s="71">
        <f>1-T24/($B24-SUM($C24:S24))</f>
        <v>0.937037037037037</v>
      </c>
      <c r="U51" s="71">
        <f>1-U24/($B24-SUM($C24:T24))</f>
        <v>0.62845849802371534</v>
      </c>
      <c r="V51" s="71">
        <f>1-V24/($B24-SUM($C24:U24))</f>
        <v>0.50314465408805031</v>
      </c>
      <c r="W51" s="71">
        <f>1-W24/($B24-SUM($C24:V24))</f>
        <v>0.58750000000000002</v>
      </c>
      <c r="X51" s="58">
        <f t="shared" si="9"/>
        <v>0.82656826568265684</v>
      </c>
      <c r="Z51" s="45">
        <v>8</v>
      </c>
      <c r="AA51" s="45">
        <v>8.5</v>
      </c>
      <c r="AB51" s="65">
        <f t="shared" si="15"/>
        <v>72.935563976644104</v>
      </c>
      <c r="AC51" s="58">
        <f>W47</f>
        <v>0.875</v>
      </c>
      <c r="AD51" s="45">
        <f t="shared" si="10"/>
        <v>0.125</v>
      </c>
      <c r="AE51" s="65">
        <f t="shared" si="11"/>
        <v>9.1169454970805148</v>
      </c>
      <c r="AF51" s="67">
        <f t="shared" si="12"/>
        <v>68.377091228103851</v>
      </c>
      <c r="AG51" s="67">
        <f t="shared" si="17"/>
        <v>196.01432818723103</v>
      </c>
      <c r="AH51" s="63">
        <f t="shared" si="16"/>
        <v>2.6875</v>
      </c>
    </row>
    <row r="52" spans="1:34" x14ac:dyDescent="0.4">
      <c r="A52" s="57">
        <v>1987</v>
      </c>
      <c r="B52" s="57">
        <v>314</v>
      </c>
      <c r="C52" s="57"/>
      <c r="D52" s="57"/>
      <c r="E52" s="57"/>
      <c r="F52" s="57"/>
      <c r="G52" s="57"/>
      <c r="H52" s="57"/>
      <c r="I52" s="57"/>
      <c r="J52" s="57"/>
      <c r="K52" s="57"/>
      <c r="L52" s="57"/>
      <c r="M52" s="57"/>
      <c r="N52" s="57"/>
      <c r="O52" s="71"/>
      <c r="P52" s="71"/>
      <c r="Q52" s="71"/>
      <c r="R52" s="71"/>
      <c r="S52" s="71"/>
      <c r="T52" s="71">
        <f>1-T25/($B25-SUM($C25:S25))</f>
        <v>0.99044585987261147</v>
      </c>
      <c r="U52" s="71">
        <f>1-U25/($B25-SUM($C25:T25))</f>
        <v>0.94533762057877813</v>
      </c>
      <c r="V52" s="71">
        <f>1-V25/($B25-SUM($C25:U25))</f>
        <v>0.65646258503401356</v>
      </c>
      <c r="W52" s="71">
        <f>1-W25/($B25-SUM($C25:V25))</f>
        <v>0.52849740932642486</v>
      </c>
      <c r="X52" s="58">
        <f t="shared" si="9"/>
        <v>0.67515923566878988</v>
      </c>
      <c r="Z52" s="45">
        <v>9</v>
      </c>
      <c r="AA52" s="45">
        <v>9.5</v>
      </c>
      <c r="AB52" s="65">
        <f t="shared" si="15"/>
        <v>63.81861847956359</v>
      </c>
      <c r="AC52" s="45">
        <f>W46</f>
        <v>1</v>
      </c>
      <c r="AD52" s="45">
        <f t="shared" si="10"/>
        <v>0</v>
      </c>
      <c r="AE52" s="45">
        <f t="shared" si="11"/>
        <v>0</v>
      </c>
      <c r="AF52" s="67">
        <f t="shared" si="12"/>
        <v>63.81861847956359</v>
      </c>
      <c r="AG52" s="67">
        <f t="shared" si="17"/>
        <v>127.63723695912718</v>
      </c>
      <c r="AH52" s="63">
        <f t="shared" si="16"/>
        <v>2</v>
      </c>
    </row>
    <row r="53" spans="1:34" x14ac:dyDescent="0.4">
      <c r="A53" s="57">
        <v>1988</v>
      </c>
      <c r="B53" s="57">
        <v>342</v>
      </c>
      <c r="C53" s="57"/>
      <c r="D53" s="57"/>
      <c r="E53" s="57"/>
      <c r="F53" s="57"/>
      <c r="G53" s="57"/>
      <c r="H53" s="57"/>
      <c r="I53" s="57"/>
      <c r="J53" s="57"/>
      <c r="K53" s="57"/>
      <c r="L53" s="57"/>
      <c r="M53" s="57"/>
      <c r="N53" s="57"/>
      <c r="O53" s="71"/>
      <c r="P53" s="71"/>
      <c r="Q53" s="71"/>
      <c r="R53" s="71"/>
      <c r="S53" s="71"/>
      <c r="T53" s="71"/>
      <c r="U53" s="71">
        <f>1-U26/($B26-SUM($C26:T26))</f>
        <v>0.99122807017543857</v>
      </c>
      <c r="V53" s="71">
        <f>1-V26/($B26-SUM($C26:U26))</f>
        <v>0.92920353982300885</v>
      </c>
      <c r="W53" s="71">
        <f>1-W26/($B26-SUM($C26:V26))</f>
        <v>0.65714285714285714</v>
      </c>
      <c r="X53" s="58">
        <f t="shared" si="9"/>
        <v>0.39473684210526316</v>
      </c>
      <c r="Z53" s="45">
        <v>10</v>
      </c>
      <c r="AA53" s="45">
        <v>10.5</v>
      </c>
      <c r="AB53" s="65">
        <f t="shared" si="15"/>
        <v>63.81861847956359</v>
      </c>
      <c r="AC53" s="45">
        <v>1</v>
      </c>
      <c r="AD53" s="45">
        <f t="shared" si="10"/>
        <v>0</v>
      </c>
      <c r="AE53" s="45">
        <f>AB53-AB54</f>
        <v>0</v>
      </c>
      <c r="AF53" s="67">
        <f t="shared" si="12"/>
        <v>63.81861847956359</v>
      </c>
      <c r="AG53" s="67">
        <f>SUM(AF53:AF63)</f>
        <v>63.81861847956359</v>
      </c>
      <c r="AH53" s="63">
        <f t="shared" si="16"/>
        <v>1</v>
      </c>
    </row>
    <row r="54" spans="1:34" x14ac:dyDescent="0.4">
      <c r="A54" s="57">
        <v>1989</v>
      </c>
      <c r="B54" s="57">
        <v>358</v>
      </c>
      <c r="C54" s="57"/>
      <c r="D54" s="57"/>
      <c r="E54" s="57"/>
      <c r="F54" s="57"/>
      <c r="G54" s="57"/>
      <c r="H54" s="57"/>
      <c r="I54" s="57"/>
      <c r="J54" s="57"/>
      <c r="K54" s="57"/>
      <c r="L54" s="57"/>
      <c r="M54" s="57"/>
      <c r="N54" s="57"/>
      <c r="O54" s="71"/>
      <c r="P54" s="71"/>
      <c r="Q54" s="71"/>
      <c r="R54" s="71"/>
      <c r="S54" s="71"/>
      <c r="T54" s="71"/>
      <c r="U54" s="71"/>
      <c r="V54" s="71">
        <f>1-V27/($B27-SUM($C27:U27))</f>
        <v>0.99162011173184361</v>
      </c>
      <c r="W54" s="71">
        <f>1-W27/($B27-SUM($C27:V27))</f>
        <v>0.91549295774647887</v>
      </c>
      <c r="X54" s="58">
        <f t="shared" si="9"/>
        <v>9.2178770949720601E-2</v>
      </c>
      <c r="Z54" s="45">
        <v>11</v>
      </c>
      <c r="AA54" s="45">
        <v>11.5</v>
      </c>
      <c r="AB54" s="65">
        <f t="shared" si="15"/>
        <v>63.81861847956359</v>
      </c>
      <c r="AE54" s="65">
        <f>SUM(AE43:AE53)</f>
        <v>936.18138152043639</v>
      </c>
    </row>
    <row r="55" spans="1:34" x14ac:dyDescent="0.4">
      <c r="A55" s="59">
        <v>1990</v>
      </c>
      <c r="B55" s="59">
        <v>367</v>
      </c>
      <c r="C55" s="59"/>
      <c r="D55" s="59"/>
      <c r="E55" s="59"/>
      <c r="F55" s="59"/>
      <c r="G55" s="59"/>
      <c r="H55" s="59"/>
      <c r="I55" s="59"/>
      <c r="J55" s="59"/>
      <c r="K55" s="59"/>
      <c r="L55" s="59"/>
      <c r="M55" s="59"/>
      <c r="N55" s="59"/>
      <c r="O55" s="72"/>
      <c r="P55" s="72"/>
      <c r="Q55" s="72"/>
      <c r="R55" s="72"/>
      <c r="S55" s="72"/>
      <c r="T55" s="72"/>
      <c r="U55" s="72"/>
      <c r="V55" s="72"/>
      <c r="W55" s="72">
        <f>1-W28/($B28-SUM($C28:V28))</f>
        <v>0.99182561307901906</v>
      </c>
      <c r="X55" s="58">
        <f t="shared" si="9"/>
        <v>8.1743869209809361E-3</v>
      </c>
      <c r="AF55" s="65"/>
    </row>
    <row r="56" spans="1:34" x14ac:dyDescent="0.4">
      <c r="C56" s="68">
        <f t="shared" ref="C56:V56" si="18">1-PRODUCT(C35:C55)</f>
        <v>1.0101010101010055E-2</v>
      </c>
      <c r="D56" s="68">
        <f t="shared" si="18"/>
        <v>9.1836734693877542E-2</v>
      </c>
      <c r="E56" s="68">
        <f t="shared" si="18"/>
        <v>0.47030497592295339</v>
      </c>
      <c r="F56" s="68">
        <f t="shared" si="18"/>
        <v>0.73939099306138689</v>
      </c>
      <c r="G56" s="68">
        <f t="shared" si="18"/>
        <v>0.88794093702253896</v>
      </c>
      <c r="H56" s="68">
        <f t="shared" si="18"/>
        <v>0.89063626151594466</v>
      </c>
      <c r="I56" s="68">
        <f t="shared" si="18"/>
        <v>0.91655363454007066</v>
      </c>
      <c r="J56" s="68">
        <f t="shared" si="18"/>
        <v>0.87362725625710924</v>
      </c>
      <c r="K56" s="68">
        <f t="shared" si="18"/>
        <v>0.90319372444221169</v>
      </c>
      <c r="L56" s="68">
        <f t="shared" si="18"/>
        <v>0.91141768184100269</v>
      </c>
      <c r="M56" s="69">
        <f t="shared" si="18"/>
        <v>0.89924930952172666</v>
      </c>
      <c r="N56" s="69">
        <f t="shared" si="18"/>
        <v>0.95205474824207015</v>
      </c>
      <c r="O56" s="69">
        <f t="shared" si="18"/>
        <v>0.97232976732030629</v>
      </c>
      <c r="P56" s="69">
        <f t="shared" si="18"/>
        <v>0.93243150314710399</v>
      </c>
      <c r="Q56" s="69">
        <f t="shared" si="18"/>
        <v>0.94118437263036214</v>
      </c>
      <c r="R56" s="69">
        <f t="shared" si="18"/>
        <v>0.9218206514524997</v>
      </c>
      <c r="S56" s="69">
        <f t="shared" si="18"/>
        <v>0.94254769419053042</v>
      </c>
      <c r="T56" s="69">
        <f t="shared" si="18"/>
        <v>0.95152037494379837</v>
      </c>
      <c r="U56" s="69">
        <f t="shared" si="18"/>
        <v>0.90068961523084379</v>
      </c>
      <c r="V56" s="69">
        <f t="shared" si="18"/>
        <v>0.92991642195760948</v>
      </c>
      <c r="W56" s="69">
        <f>1-PRODUCT(W35:W55)</f>
        <v>0.9361813815204364</v>
      </c>
      <c r="X56" s="45">
        <f t="shared" si="9"/>
        <v>0.99992036645707649</v>
      </c>
      <c r="AD56" s="75" t="s">
        <v>79</v>
      </c>
      <c r="AE56" s="45">
        <f>AE54/AB43</f>
        <v>0.9361813815204364</v>
      </c>
      <c r="AG56" s="73" t="s">
        <v>82</v>
      </c>
    </row>
    <row r="57" spans="1:34" x14ac:dyDescent="0.4">
      <c r="AD57" s="75" t="s">
        <v>80</v>
      </c>
      <c r="AE57" s="68">
        <f>SUMPRODUCT(AA43:AA53,AE43:AE53)/SUM(AE43:AE53)</f>
        <v>3.4744967054734852</v>
      </c>
      <c r="AG57" s="45">
        <f>(AG43-AF52*11)/AE56/1000</f>
        <v>3.4710040545482097</v>
      </c>
    </row>
    <row r="77" spans="9:9" x14ac:dyDescent="0.4">
      <c r="I77" s="45">
        <f>10/12</f>
        <v>0.83333333333333337</v>
      </c>
    </row>
  </sheetData>
  <phoneticPr fontId="5" type="noConversion"/>
  <pageMargins left="0.78740157499999996" right="0.78740157499999996" top="0.984251969" bottom="0.984251969" header="0.4921259845" footer="0.4921259845"/>
  <pageSetup paperSize="9" orientation="portrait"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Ennoncé</vt:lpstr>
      <vt:lpstr>ex 1</vt:lpstr>
      <vt:lpstr>ex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Avdeev</dc:creator>
  <cp:lastModifiedBy>Alexandre Avdeev</cp:lastModifiedBy>
  <dcterms:created xsi:type="dcterms:W3CDTF">2010-04-10T12:28:06Z</dcterms:created>
  <dcterms:modified xsi:type="dcterms:W3CDTF">2022-04-12T10:24:24Z</dcterms:modified>
</cp:coreProperties>
</file>