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9_2020\M1 Analyse statistique\S23_La régression linéaire\"/>
    </mc:Choice>
  </mc:AlternateContent>
  <xr:revisionPtr revIDLastSave="0" documentId="8_{6F777642-1D61-4CD2-B064-E89FE622D599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Pop Israël" sheetId="1" r:id="rId1"/>
    <sheet name="salaire NBA" sheetId="2" r:id="rId2"/>
    <sheet name="fécondité G 47" sheetId="3" r:id="rId3"/>
    <sheet name="fécondité G 47 (2)" sheetId="9" r:id="rId4"/>
    <sheet name="mortalité 2004" sheetId="4" r:id="rId5"/>
    <sheet name="marathoniens" sheetId="5" r:id="rId6"/>
    <sheet name="ex en 2001" sheetId="7" r:id="rId7"/>
    <sheet name="RM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9" l="1"/>
  <c r="B24" i="9"/>
  <c r="C23" i="9"/>
  <c r="B22" i="9"/>
  <c r="C19" i="9"/>
  <c r="B19" i="9"/>
  <c r="B23" i="9" s="1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A27" i="9" s="1"/>
  <c r="C2" i="9"/>
  <c r="D25" i="4"/>
  <c r="D26" i="4"/>
  <c r="D27" i="4"/>
  <c r="D28" i="4"/>
  <c r="D29" i="4"/>
  <c r="D30" i="4"/>
  <c r="D31" i="4"/>
  <c r="D24" i="4"/>
  <c r="C25" i="4"/>
  <c r="C26" i="4"/>
  <c r="C27" i="4"/>
  <c r="C28" i="4"/>
  <c r="C29" i="4"/>
  <c r="C30" i="4"/>
  <c r="C31" i="4"/>
  <c r="C24" i="4"/>
  <c r="B25" i="3"/>
  <c r="B24" i="3"/>
  <c r="B22" i="3"/>
  <c r="C23" i="3"/>
  <c r="C19" i="3"/>
  <c r="B19" i="3"/>
  <c r="D3" i="3"/>
  <c r="D4" i="3"/>
  <c r="D5" i="3"/>
  <c r="D6" i="3"/>
  <c r="D7" i="3"/>
  <c r="D8" i="3"/>
  <c r="D9" i="3"/>
  <c r="D2" i="3"/>
  <c r="C30" i="5"/>
  <c r="B30" i="5"/>
  <c r="C29" i="5"/>
  <c r="B29" i="5"/>
  <c r="C28" i="5"/>
  <c r="B28" i="5"/>
  <c r="B31" i="5" s="1"/>
  <c r="B11" i="4"/>
  <c r="D34" i="4" l="1"/>
  <c r="C37" i="4"/>
  <c r="C32" i="5"/>
  <c r="E30" i="5" s="1"/>
  <c r="P30" i="5" s="1"/>
  <c r="B23" i="3"/>
  <c r="C39" i="5"/>
  <c r="E28" i="5"/>
  <c r="P28" i="5" s="1"/>
  <c r="C40" i="5"/>
  <c r="C34" i="4"/>
  <c r="D37" i="4"/>
  <c r="C31" i="5"/>
  <c r="C35" i="4"/>
  <c r="D36" i="4"/>
  <c r="B32" i="5"/>
  <c r="D29" i="5" s="1"/>
  <c r="G29" i="5" s="1"/>
  <c r="C36" i="4"/>
  <c r="D35" i="4"/>
  <c r="B9" i="5"/>
  <c r="C9" i="5"/>
  <c r="B10" i="5"/>
  <c r="C10" i="5"/>
  <c r="B11" i="5"/>
  <c r="C11" i="5"/>
  <c r="C3" i="3"/>
  <c r="C4" i="3"/>
  <c r="C5" i="3"/>
  <c r="C6" i="3"/>
  <c r="C7" i="3"/>
  <c r="C8" i="3"/>
  <c r="C9" i="3"/>
  <c r="C2" i="3"/>
  <c r="B20" i="5" l="1"/>
  <c r="E29" i="5"/>
  <c r="P29" i="5" s="1"/>
  <c r="P32" i="5" s="1"/>
  <c r="B36" i="5" s="1"/>
  <c r="B19" i="5"/>
  <c r="B21" i="5"/>
  <c r="D28" i="5"/>
  <c r="D30" i="5"/>
  <c r="P31" i="5"/>
  <c r="F29" i="5" l="1"/>
  <c r="F28" i="5"/>
  <c r="G28" i="5"/>
  <c r="B24" i="5"/>
  <c r="B22" i="5"/>
  <c r="B23" i="5" s="1"/>
  <c r="G30" i="5"/>
  <c r="F30" i="5"/>
  <c r="G31" i="5" l="1"/>
  <c r="G32" i="5"/>
  <c r="B35" i="5" s="1"/>
  <c r="F32" i="5"/>
  <c r="B34" i="5" s="1"/>
  <c r="F31" i="5"/>
  <c r="B40" i="5" l="1"/>
  <c r="B39" i="5"/>
  <c r="B37" i="5"/>
  <c r="B38" i="5" s="1"/>
</calcChain>
</file>

<file path=xl/sharedStrings.xml><?xml version="1.0" encoding="utf-8"?>
<sst xmlns="http://schemas.openxmlformats.org/spreadsheetml/2006/main" count="110" uniqueCount="64">
  <si>
    <t>Population moyenne (en milliers)</t>
  </si>
  <si>
    <t>Année</t>
  </si>
  <si>
    <t>Territoires palestiniens occupés</t>
  </si>
  <si>
    <t>Israël</t>
  </si>
  <si>
    <t>Salaire moyen</t>
  </si>
  <si>
    <t>Age</t>
  </si>
  <si>
    <t>Descendance atteinte pour 10000 femmes</t>
  </si>
  <si>
    <t>Descendance atteinte pour 100 femmes</t>
  </si>
  <si>
    <t>quotients de mortalité</t>
  </si>
  <si>
    <t>Paul Tergat</t>
  </si>
  <si>
    <t>Haile Gebreselassie</t>
  </si>
  <si>
    <t>Patrick Makam</t>
  </si>
  <si>
    <t>Marathon</t>
  </si>
  <si>
    <t>Semi</t>
  </si>
  <si>
    <t>2h 04 min 55 s</t>
  </si>
  <si>
    <t>59 min 17 s</t>
  </si>
  <si>
    <t>2h 04 min 26 s</t>
  </si>
  <si>
    <t>58 min 55 s</t>
  </si>
  <si>
    <t>2h03 min 38</t>
  </si>
  <si>
    <t>58 min 52</t>
  </si>
  <si>
    <t>PM &amp; HG</t>
  </si>
  <si>
    <t>a</t>
  </si>
  <si>
    <t>b</t>
  </si>
  <si>
    <t>Sx</t>
  </si>
  <si>
    <t>Dx, x+1</t>
  </si>
  <si>
    <t>1qx</t>
  </si>
  <si>
    <t>ex</t>
  </si>
  <si>
    <t>Pop (en milliers)</t>
  </si>
  <si>
    <t>Paris intra-muros</t>
  </si>
  <si>
    <t>cov</t>
  </si>
  <si>
    <t>Semi (x)</t>
  </si>
  <si>
    <t>Marathon (y)</t>
  </si>
  <si>
    <t>x - x moy</t>
  </si>
  <si>
    <t>y - y moy</t>
  </si>
  <si>
    <t>(x - x moy)*(y - y moy)</t>
  </si>
  <si>
    <r>
      <t>(x - x moy)</t>
    </r>
    <r>
      <rPr>
        <vertAlign val="superscript"/>
        <sz val="11"/>
        <color theme="1"/>
        <rFont val="Calibri"/>
        <family val="2"/>
        <scheme val="minor"/>
      </rPr>
      <t>2</t>
    </r>
  </si>
  <si>
    <t>Athlète</t>
  </si>
  <si>
    <t>COV (x,y)</t>
  </si>
  <si>
    <t>VAR(x)</t>
  </si>
  <si>
    <t>Somme</t>
  </si>
  <si>
    <t>Moyenne</t>
  </si>
  <si>
    <r>
      <t>(x - x moy)</t>
    </r>
    <r>
      <rPr>
        <vertAlign val="superscript"/>
        <sz val="10"/>
        <color rgb="FF000000"/>
        <rFont val="Calibri"/>
        <family val="2"/>
        <scheme val="minor"/>
      </rPr>
      <t>2</t>
    </r>
  </si>
  <si>
    <t>3 532</t>
  </si>
  <si>
    <t>7 418</t>
  </si>
  <si>
    <t>3 535</t>
  </si>
  <si>
    <t>7 466</t>
  </si>
  <si>
    <t>3 557</t>
  </si>
  <si>
    <t>7 495</t>
  </si>
  <si>
    <t>10 624</t>
  </si>
  <si>
    <t>22 379</t>
  </si>
  <si>
    <t>3 541,3</t>
  </si>
  <si>
    <t>7 459,7</t>
  </si>
  <si>
    <r>
      <t>(y - y moy)</t>
    </r>
    <r>
      <rPr>
        <vertAlign val="superscript"/>
        <sz val="10"/>
        <color rgb="FF000000"/>
        <rFont val="Calibri"/>
        <family val="2"/>
        <scheme val="minor"/>
      </rPr>
      <t>2</t>
    </r>
  </si>
  <si>
    <t>VAR(y)</t>
  </si>
  <si>
    <t>R2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</si>
  <si>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</si>
  <si>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r</t>
  </si>
  <si>
    <t>ln (âge)</t>
  </si>
  <si>
    <t>Age (x)</t>
  </si>
  <si>
    <t>Descendance atteinte pour 100 femmes (y)</t>
  </si>
  <si>
    <t>ln (âge) = X</t>
  </si>
  <si>
    <r>
      <t xml:space="preserve">quotients de mortalité 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(y)</t>
    </r>
  </si>
  <si>
    <t>log(aqx) = Y modèle "puissance"</t>
  </si>
  <si>
    <r>
      <t>ln(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 = Y modèle "exponentiel"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</si>
</sst>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[$-F400]h:mm:ss\ AM/PM"/>
    <numFmt numFmtId="166" formatCode="0.000000"/>
    <numFmt numFmtId="167" formatCode="0.0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166" fontId="0" fillId="0" borderId="0" xfId="0" applyNumberFormat="1"/>
    <xf numFmtId="2" fontId="0" fillId="0" borderId="0" xfId="0" applyNumberFormat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 applyAlignment="1">
      <alignment horizontal="right"/>
    </xf>
    <xf numFmtId="0" fontId="0" fillId="0" borderId="7" xfId="0" applyBorder="1"/>
    <xf numFmtId="0" fontId="0" fillId="0" borderId="10" xfId="0" applyBorder="1"/>
    <xf numFmtId="0" fontId="0" fillId="0" borderId="0" xfId="0" applyAlignment="1">
      <alignment vertical="center" wrapText="1"/>
    </xf>
    <xf numFmtId="167" fontId="0" fillId="0" borderId="0" xfId="0" applyNumberFormat="1"/>
    <xf numFmtId="168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'Pop Israël'!$A$11:$A$14</c:f>
              <c:numCache>
                <c:formatCode>General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</c:numCache>
            </c:numRef>
          </c:xVal>
          <c:yVal>
            <c:numRef>
              <c:f>'Pop Israël'!$C$11:$C$14</c:f>
              <c:numCache>
                <c:formatCode>#,##0</c:formatCode>
                <c:ptCount val="4"/>
                <c:pt idx="0">
                  <c:v>4514</c:v>
                </c:pt>
                <c:pt idx="1">
                  <c:v>5374</c:v>
                </c:pt>
                <c:pt idx="2">
                  <c:v>6084</c:v>
                </c:pt>
                <c:pt idx="3">
                  <c:v>6725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1F-42E5-B286-B5153CDFF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4016"/>
        <c:axId val="94179328"/>
      </c:scatterChart>
      <c:valAx>
        <c:axId val="11254016"/>
        <c:scaling>
          <c:orientation val="minMax"/>
          <c:max val="200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179328"/>
        <c:crosses val="autoZero"/>
        <c:crossBetween val="midCat"/>
        <c:majorUnit val="5"/>
      </c:valAx>
      <c:valAx>
        <c:axId val="94179328"/>
        <c:scaling>
          <c:orientation val="minMax"/>
          <c:max val="8000"/>
          <c:min val="3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254016"/>
        <c:crosses val="autoZero"/>
        <c:crossBetween val="midCat"/>
        <c:majorUnit val="100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exp"/>
            <c:forward val="5"/>
            <c:dispRSqr val="0"/>
            <c:dispEq val="0"/>
          </c:trendline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1"/>
            <c:trendlineLbl>
              <c:layout>
                <c:manualLayout>
                  <c:x val="-0.23212371686523478"/>
                  <c:y val="2.0819273488170344E-2"/>
                </c:manualLayout>
              </c:layout>
              <c:numFmt formatCode="General" sourceLinked="0"/>
            </c:trendlineLbl>
          </c:trendline>
          <c:xVal>
            <c:numRef>
              <c:f>'mortalité 2004'!$A$24:$A$31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2004'!$C$24:$C$31</c:f>
              <c:numCache>
                <c:formatCode>General</c:formatCode>
                <c:ptCount val="8"/>
                <c:pt idx="0">
                  <c:v>-6.7801999999999998</c:v>
                </c:pt>
                <c:pt idx="1">
                  <c:v>-5.1783999999999999</c:v>
                </c:pt>
                <c:pt idx="2">
                  <c:v>-4.1691000000000003</c:v>
                </c:pt>
                <c:pt idx="3">
                  <c:v>-3.2667000000000002</c:v>
                </c:pt>
                <c:pt idx="4">
                  <c:v>-2.5434999999999999</c:v>
                </c:pt>
                <c:pt idx="5">
                  <c:v>-2.0116999999999998</c:v>
                </c:pt>
                <c:pt idx="6">
                  <c:v>-1.5483</c:v>
                </c:pt>
                <c:pt idx="7">
                  <c:v>-1.2332000000000001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7E-46F4-ADA1-9F6CA895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79424"/>
        <c:axId val="146281216"/>
      </c:scatterChart>
      <c:valAx>
        <c:axId val="146279424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281216"/>
        <c:crosses val="autoZero"/>
        <c:crossBetween val="midCat"/>
        <c:majorUnit val="10"/>
      </c:valAx>
      <c:valAx>
        <c:axId val="14628121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279424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exp"/>
            <c:forward val="5"/>
            <c:dispRSqr val="0"/>
            <c:dispEq val="0"/>
          </c:trendline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1"/>
            <c:trendlineLbl>
              <c:layout>
                <c:manualLayout>
                  <c:x val="-0.24084972035563618"/>
                  <c:y val="2.1848847930734085E-2"/>
                </c:manualLayout>
              </c:layout>
              <c:numFmt formatCode="General" sourceLinked="0"/>
            </c:trendlineLbl>
          </c:trendline>
          <c:xVal>
            <c:numRef>
              <c:f>'mortalité 2004'!$A$24:$A$31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2004'!$D$24:$D$31</c:f>
              <c:numCache>
                <c:formatCode>General</c:formatCode>
                <c:ptCount val="8"/>
                <c:pt idx="0">
                  <c:v>-2.9445999999999999</c:v>
                </c:pt>
                <c:pt idx="1">
                  <c:v>-2.2490000000000001</c:v>
                </c:pt>
                <c:pt idx="2">
                  <c:v>-1.8106</c:v>
                </c:pt>
                <c:pt idx="3">
                  <c:v>-1.4187000000000001</c:v>
                </c:pt>
                <c:pt idx="4">
                  <c:v>-1.1046</c:v>
                </c:pt>
                <c:pt idx="5">
                  <c:v>-0.87370000000000003</c:v>
                </c:pt>
                <c:pt idx="6">
                  <c:v>-0.6724</c:v>
                </c:pt>
                <c:pt idx="7">
                  <c:v>-0.53559999999999997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20-4139-A923-E433DD11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19616"/>
        <c:axId val="146333696"/>
      </c:scatterChart>
      <c:valAx>
        <c:axId val="146319616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333696"/>
        <c:crosses val="autoZero"/>
        <c:crossBetween val="midCat"/>
        <c:majorUnit val="10"/>
      </c:valAx>
      <c:valAx>
        <c:axId val="14633369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31961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marathoniens!$B$9:$B$10</c:f>
              <c:numCache>
                <c:formatCode>General</c:formatCode>
                <c:ptCount val="2"/>
                <c:pt idx="0">
                  <c:v>3532</c:v>
                </c:pt>
                <c:pt idx="1">
                  <c:v>3535</c:v>
                </c:pt>
              </c:numCache>
            </c:numRef>
          </c:xVal>
          <c:yVal>
            <c:numRef>
              <c:f>marathoniens!$C$9:$C$10</c:f>
              <c:numCache>
                <c:formatCode>General</c:formatCode>
                <c:ptCount val="2"/>
                <c:pt idx="0">
                  <c:v>7418</c:v>
                </c:pt>
                <c:pt idx="1">
                  <c:v>7466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C1-4C33-B646-85C78472A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77216"/>
        <c:axId val="146779136"/>
      </c:scatterChart>
      <c:valAx>
        <c:axId val="146777216"/>
        <c:scaling>
          <c:orientation val="minMax"/>
          <c:max val="3536"/>
          <c:min val="353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Semi-marathon</a:t>
                </a:r>
              </a:p>
            </c:rich>
          </c:tx>
          <c:layout>
            <c:manualLayout>
              <c:xMode val="edge"/>
              <c:yMode val="edge"/>
              <c:x val="0.64177556993857454"/>
              <c:y val="0.814570583552737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779136"/>
        <c:crosses val="autoZero"/>
        <c:crossBetween val="midCat"/>
        <c:majorUnit val="1"/>
      </c:valAx>
      <c:valAx>
        <c:axId val="146779136"/>
        <c:scaling>
          <c:orientation val="minMax"/>
        </c:scaling>
        <c:delete val="0"/>
        <c:axPos val="l"/>
        <c:majorGridlines/>
        <c:title>
          <c:tx>
            <c:strRef>
              <c:f>marathoniens!$C$3</c:f>
              <c:strCache>
                <c:ptCount val="1"/>
                <c:pt idx="0">
                  <c:v>Marathon</c:v>
                </c:pt>
              </c:strCache>
            </c:strRef>
          </c:tx>
          <c:layout>
            <c:manualLayout>
              <c:xMode val="edge"/>
              <c:yMode val="edge"/>
              <c:x val="0.27027027027027051"/>
              <c:y val="5.5061415886583913E-2"/>
            </c:manualLayout>
          </c:layout>
          <c:overlay val="0"/>
          <c:txPr>
            <a:bodyPr rot="0" vert="horz"/>
            <a:lstStyle/>
            <a:p>
              <a:pPr>
                <a:defRPr sz="900" b="0"/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77721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backward val="8"/>
            <c:dispRSqr val="0"/>
            <c:dispEq val="0"/>
          </c:trendline>
          <c:xVal>
            <c:numRef>
              <c:f>marathoniens!$B$9:$B$11</c:f>
              <c:numCache>
                <c:formatCode>General</c:formatCode>
                <c:ptCount val="3"/>
                <c:pt idx="0">
                  <c:v>3532</c:v>
                </c:pt>
                <c:pt idx="1">
                  <c:v>3535</c:v>
                </c:pt>
                <c:pt idx="2">
                  <c:v>3557</c:v>
                </c:pt>
              </c:numCache>
            </c:numRef>
          </c:xVal>
          <c:yVal>
            <c:numRef>
              <c:f>marathoniens!$C$9:$C$11</c:f>
              <c:numCache>
                <c:formatCode>General</c:formatCode>
                <c:ptCount val="3"/>
                <c:pt idx="0">
                  <c:v>7418</c:v>
                </c:pt>
                <c:pt idx="1">
                  <c:v>7466</c:v>
                </c:pt>
                <c:pt idx="2">
                  <c:v>7495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62-467B-A182-813CB6BDF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81536"/>
        <c:axId val="146483456"/>
      </c:scatterChart>
      <c:valAx>
        <c:axId val="146481536"/>
        <c:scaling>
          <c:orientation val="minMax"/>
          <c:max val="3600"/>
          <c:min val="35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Semi-marathon</a:t>
                </a:r>
              </a:p>
            </c:rich>
          </c:tx>
          <c:layout>
            <c:manualLayout>
              <c:xMode val="edge"/>
              <c:yMode val="edge"/>
              <c:x val="0.64613857168377531"/>
              <c:y val="0.818417478351372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483456"/>
        <c:crosses val="autoZero"/>
        <c:crossBetween val="midCat"/>
        <c:majorUnit val="10"/>
      </c:valAx>
      <c:valAx>
        <c:axId val="146483456"/>
        <c:scaling>
          <c:orientation val="minMax"/>
        </c:scaling>
        <c:delete val="0"/>
        <c:axPos val="l"/>
        <c:majorGridlines/>
        <c:title>
          <c:tx>
            <c:strRef>
              <c:f>marathoniens!$C$3</c:f>
              <c:strCache>
                <c:ptCount val="1"/>
                <c:pt idx="0">
                  <c:v>Marathon</c:v>
                </c:pt>
              </c:strCache>
            </c:strRef>
          </c:tx>
          <c:layout>
            <c:manualLayout>
              <c:xMode val="edge"/>
              <c:yMode val="edge"/>
              <c:x val="0.27027027027027062"/>
              <c:y val="5.5061415886583913E-2"/>
            </c:manualLayout>
          </c:layout>
          <c:overlay val="0"/>
          <c:txPr>
            <a:bodyPr rot="0" vert="horz"/>
            <a:lstStyle/>
            <a:p>
              <a:pPr>
                <a:defRPr sz="900" b="0"/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48153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'ex en 2001'!$A$4:$A$18</c:f>
              <c:numCache>
                <c:formatCode>General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</c:numCache>
            </c:numRef>
          </c:xVal>
          <c:yVal>
            <c:numRef>
              <c:f>'ex en 2001'!$E$4:$E$18</c:f>
              <c:numCache>
                <c:formatCode>0.00</c:formatCode>
                <c:ptCount val="15"/>
                <c:pt idx="0">
                  <c:v>75.670162542577415</c:v>
                </c:pt>
                <c:pt idx="1">
                  <c:v>66.12632446788227</c:v>
                </c:pt>
                <c:pt idx="2">
                  <c:v>56.369086101374762</c:v>
                </c:pt>
                <c:pt idx="3">
                  <c:v>46.918348761689991</c:v>
                </c:pt>
                <c:pt idx="4">
                  <c:v>37.582750773268046</c:v>
                </c:pt>
                <c:pt idx="5">
                  <c:v>28.742648781584929</c:v>
                </c:pt>
                <c:pt idx="6">
                  <c:v>20.562788087411445</c:v>
                </c:pt>
                <c:pt idx="7">
                  <c:v>13.480964925372053</c:v>
                </c:pt>
                <c:pt idx="8">
                  <c:v>7.6540665493792019</c:v>
                </c:pt>
                <c:pt idx="9">
                  <c:v>3.728616724778143</c:v>
                </c:pt>
                <c:pt idx="10">
                  <c:v>1.8920425337507263</c:v>
                </c:pt>
                <c:pt idx="11">
                  <c:v>1.6828120310519452</c:v>
                </c:pt>
                <c:pt idx="12">
                  <c:v>1.34082364823</c:v>
                </c:pt>
                <c:pt idx="13">
                  <c:v>1.03287</c:v>
                </c:pt>
                <c:pt idx="1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79-490C-BAC7-475338BB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07104"/>
        <c:axId val="146617472"/>
      </c:scatterChart>
      <c:valAx>
        <c:axId val="146607104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617472"/>
        <c:crosses val="autoZero"/>
        <c:crossBetween val="midCat"/>
        <c:majorUnit val="10"/>
      </c:valAx>
      <c:valAx>
        <c:axId val="1466174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607104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'mortalité 2004'!$A$2:$A$9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2004'!$B$2:$B$9</c:f>
              <c:numCache>
                <c:formatCode>0.00000</c:formatCode>
                <c:ptCount val="8"/>
                <c:pt idx="0">
                  <c:v>1.1360625834727633E-3</c:v>
                </c:pt>
                <c:pt idx="1">
                  <c:v>5.6367980232598924E-3</c:v>
                </c:pt>
                <c:pt idx="2">
                  <c:v>1.5466242771557615E-2</c:v>
                </c:pt>
                <c:pt idx="3">
                  <c:v>3.8132918872819443E-2</c:v>
                </c:pt>
                <c:pt idx="4">
                  <c:v>7.85897188275132E-2</c:v>
                </c:pt>
                <c:pt idx="5">
                  <c:v>0.1337609507752523</c:v>
                </c:pt>
                <c:pt idx="6">
                  <c:v>0.21260255399858896</c:v>
                </c:pt>
                <c:pt idx="7">
                  <c:v>0.29136530699556418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D9-476A-8D8E-7A63871D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57664"/>
        <c:axId val="146659584"/>
      </c:scatterChart>
      <c:valAx>
        <c:axId val="146657664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659584"/>
        <c:crosses val="autoZero"/>
        <c:crossBetween val="midCat"/>
        <c:majorUnit val="10"/>
      </c:valAx>
      <c:valAx>
        <c:axId val="14665958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657664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'ex en 2001'!$A$4:$A$18</c:f>
              <c:numCache>
                <c:formatCode>General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</c:numCache>
            </c:numRef>
          </c:xVal>
          <c:yVal>
            <c:numRef>
              <c:f>'ex en 2001'!$E$4:$E$18</c:f>
              <c:numCache>
                <c:formatCode>0.00</c:formatCode>
                <c:ptCount val="15"/>
                <c:pt idx="0">
                  <c:v>75.670162542577415</c:v>
                </c:pt>
                <c:pt idx="1">
                  <c:v>66.12632446788227</c:v>
                </c:pt>
                <c:pt idx="2">
                  <c:v>56.369086101374762</c:v>
                </c:pt>
                <c:pt idx="3">
                  <c:v>46.918348761689991</c:v>
                </c:pt>
                <c:pt idx="4">
                  <c:v>37.582750773268046</c:v>
                </c:pt>
                <c:pt idx="5">
                  <c:v>28.742648781584929</c:v>
                </c:pt>
                <c:pt idx="6">
                  <c:v>20.562788087411445</c:v>
                </c:pt>
                <c:pt idx="7">
                  <c:v>13.480964925372053</c:v>
                </c:pt>
                <c:pt idx="8">
                  <c:v>7.6540665493792019</c:v>
                </c:pt>
                <c:pt idx="9">
                  <c:v>3.728616724778143</c:v>
                </c:pt>
                <c:pt idx="10">
                  <c:v>1.8920425337507263</c:v>
                </c:pt>
                <c:pt idx="11">
                  <c:v>1.6828120310519452</c:v>
                </c:pt>
                <c:pt idx="12">
                  <c:v>1.34082364823</c:v>
                </c:pt>
                <c:pt idx="13">
                  <c:v>1.03287</c:v>
                </c:pt>
                <c:pt idx="1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1-4A73-AF67-4DBE9BD33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95296"/>
        <c:axId val="146697216"/>
      </c:scatterChart>
      <c:valAx>
        <c:axId val="146695296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697216"/>
        <c:crosses val="autoZero"/>
        <c:crossBetween val="midCat"/>
        <c:majorUnit val="10"/>
      </c:valAx>
      <c:valAx>
        <c:axId val="1466972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69529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2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RM!$A$3:$A$8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</c:numCache>
            </c:numRef>
          </c:xVal>
          <c:yVal>
            <c:numRef>
              <c:f>RM!$B$3:$B$8</c:f>
              <c:numCache>
                <c:formatCode>General</c:formatCode>
                <c:ptCount val="6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47-4AA1-8668-E878A823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24736"/>
        <c:axId val="146726912"/>
      </c:scatterChart>
      <c:valAx>
        <c:axId val="146724736"/>
        <c:scaling>
          <c:orientation val="minMax"/>
          <c:max val="2010"/>
          <c:min val="196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726912"/>
        <c:crosses val="autoZero"/>
        <c:crossBetween val="midCat"/>
        <c:majorUnit val="10"/>
      </c:valAx>
      <c:valAx>
        <c:axId val="1467269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724736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4004E-2"/>
          <c:w val="0.69916294247002908"/>
          <c:h val="0.847999315985580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exp"/>
            <c:dispRSqr val="0"/>
            <c:dispEq val="0"/>
          </c:trendline>
          <c:xVal>
            <c:numRef>
              <c:f>'salaire NBA'!$A$2:$A$10</c:f>
              <c:numCache>
                <c:formatCode>General</c:formatCode>
                <c:ptCount val="9"/>
                <c:pt idx="0">
                  <c:v>1985</c:v>
                </c:pt>
                <c:pt idx="1">
                  <c:v>1987</c:v>
                </c:pt>
                <c:pt idx="2">
                  <c:v>1989</c:v>
                </c:pt>
                <c:pt idx="3">
                  <c:v>1991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  <c:pt idx="7">
                  <c:v>1999</c:v>
                </c:pt>
                <c:pt idx="8">
                  <c:v>2001</c:v>
                </c:pt>
              </c:numCache>
            </c:numRef>
          </c:xVal>
          <c:yVal>
            <c:numRef>
              <c:f>'salaire NBA'!$B$2:$B$10</c:f>
              <c:numCache>
                <c:formatCode>#,##0</c:formatCode>
                <c:ptCount val="9"/>
                <c:pt idx="0">
                  <c:v>330000</c:v>
                </c:pt>
                <c:pt idx="1">
                  <c:v>431000</c:v>
                </c:pt>
                <c:pt idx="2">
                  <c:v>575000</c:v>
                </c:pt>
                <c:pt idx="3">
                  <c:v>927000</c:v>
                </c:pt>
                <c:pt idx="4">
                  <c:v>1300000</c:v>
                </c:pt>
                <c:pt idx="5">
                  <c:v>1800000</c:v>
                </c:pt>
                <c:pt idx="6">
                  <c:v>2300000</c:v>
                </c:pt>
                <c:pt idx="7">
                  <c:v>3000000</c:v>
                </c:pt>
                <c:pt idx="8">
                  <c:v>4200000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8-4D02-9A4E-0754214A6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61344"/>
        <c:axId val="145962880"/>
      </c:scatterChart>
      <c:valAx>
        <c:axId val="145961344"/>
        <c:scaling>
          <c:orientation val="minMax"/>
          <c:max val="2001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5962880"/>
        <c:crosses val="autoZero"/>
        <c:crossBetween val="midCat"/>
        <c:majorUnit val="2"/>
      </c:valAx>
      <c:valAx>
        <c:axId val="145962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5961344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RSqr val="0"/>
            <c:dispEq val="1"/>
            <c:trendlineLbl>
              <c:layout>
                <c:manualLayout>
                  <c:x val="-0.21207761333498235"/>
                  <c:y val="3.148274470794496E-2"/>
                </c:manualLayout>
              </c:layout>
              <c:numFmt formatCode="General" sourceLinked="0"/>
            </c:trendlineLbl>
          </c:trendline>
          <c:xVal>
            <c:numRef>
              <c:f>'fécondité G 47'!$A$2:$A$7</c:f>
              <c:numCache>
                <c:formatCode>General</c:formatCode>
                <c:ptCount val="6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</c:numCache>
            </c:numRef>
          </c:xVal>
          <c:yVal>
            <c:numRef>
              <c:f>'fécondité G 47'!$C$2:$C$7</c:f>
              <c:numCache>
                <c:formatCode>0</c:formatCode>
                <c:ptCount val="6"/>
                <c:pt idx="0">
                  <c:v>0</c:v>
                </c:pt>
                <c:pt idx="1">
                  <c:v>25.02</c:v>
                </c:pt>
                <c:pt idx="2">
                  <c:v>110.95</c:v>
                </c:pt>
                <c:pt idx="3">
                  <c:v>170.96</c:v>
                </c:pt>
                <c:pt idx="4">
                  <c:v>200.26</c:v>
                </c:pt>
                <c:pt idx="5">
                  <c:v>210.53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AF-4E6A-B5F3-8E00B48D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00128"/>
        <c:axId val="146001920"/>
      </c:scatterChart>
      <c:valAx>
        <c:axId val="146000128"/>
        <c:scaling>
          <c:orientation val="minMax"/>
          <c:max val="4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6001920"/>
        <c:crosses val="autoZero"/>
        <c:crossBetween val="midCat"/>
        <c:majorUnit val="5"/>
      </c:valAx>
      <c:valAx>
        <c:axId val="146001920"/>
        <c:scaling>
          <c:orientation val="minMax"/>
          <c:max val="2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000128"/>
        <c:crosses val="autoZero"/>
        <c:crossBetween val="midCat"/>
        <c:majorUnit val="5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1"/>
            <c:trendlineLbl>
              <c:layout>
                <c:manualLayout>
                  <c:x val="-0.12668095807395804"/>
                  <c:y val="2.777609497165414E-2"/>
                </c:manualLayout>
              </c:layout>
              <c:numFmt formatCode="General" sourceLinked="0"/>
            </c:trendlineLbl>
          </c:trendline>
          <c:xVal>
            <c:numRef>
              <c:f>'fécondité G 47'!$D$2:$D$7</c:f>
              <c:numCache>
                <c:formatCode>General</c:formatCode>
                <c:ptCount val="6"/>
                <c:pt idx="0">
                  <c:v>2.7080000000000002</c:v>
                </c:pt>
                <c:pt idx="1">
                  <c:v>2.996</c:v>
                </c:pt>
                <c:pt idx="2">
                  <c:v>3.2189999999999999</c:v>
                </c:pt>
                <c:pt idx="3">
                  <c:v>3.4009999999999998</c:v>
                </c:pt>
                <c:pt idx="4">
                  <c:v>3.5550000000000002</c:v>
                </c:pt>
                <c:pt idx="5">
                  <c:v>3.6890000000000001</c:v>
                </c:pt>
              </c:numCache>
            </c:numRef>
          </c:xVal>
          <c:yVal>
            <c:numRef>
              <c:f>'fécondité G 47'!$C$2:$C$7</c:f>
              <c:numCache>
                <c:formatCode>0</c:formatCode>
                <c:ptCount val="6"/>
                <c:pt idx="0">
                  <c:v>0</c:v>
                </c:pt>
                <c:pt idx="1">
                  <c:v>25.02</c:v>
                </c:pt>
                <c:pt idx="2">
                  <c:v>110.95</c:v>
                </c:pt>
                <c:pt idx="3">
                  <c:v>170.96</c:v>
                </c:pt>
                <c:pt idx="4">
                  <c:v>200.26</c:v>
                </c:pt>
                <c:pt idx="5">
                  <c:v>210.53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DC-40A2-A7B2-D39DB06D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54944"/>
        <c:axId val="146356480"/>
      </c:scatterChart>
      <c:valAx>
        <c:axId val="146354944"/>
        <c:scaling>
          <c:orientation val="minMax"/>
          <c:max val="4"/>
          <c:min val="2.5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6356480"/>
        <c:crosses val="autoZero"/>
        <c:crossBetween val="midCat"/>
        <c:majorUnit val="0.5"/>
      </c:valAx>
      <c:valAx>
        <c:axId val="146356480"/>
        <c:scaling>
          <c:orientation val="minMax"/>
          <c:max val="2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354944"/>
        <c:crosses val="autoZero"/>
        <c:crossBetween val="midCat"/>
        <c:majorUnit val="5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RSqr val="0"/>
            <c:dispEq val="1"/>
            <c:trendlineLbl>
              <c:layout>
                <c:manualLayout>
                  <c:x val="-0.21207761333498235"/>
                  <c:y val="3.148274470794496E-2"/>
                </c:manualLayout>
              </c:layout>
              <c:numFmt formatCode="General" sourceLinked="0"/>
            </c:trendlineLbl>
          </c:trendline>
          <c:xVal>
            <c:numRef>
              <c:f>'fécondité G 47 (2)'!$A$2:$A$9</c:f>
              <c:numCache>
                <c:formatCode>General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'fécondité G 47 (2)'!$C$2:$C$9</c:f>
              <c:numCache>
                <c:formatCode>0</c:formatCode>
                <c:ptCount val="8"/>
                <c:pt idx="0">
                  <c:v>0</c:v>
                </c:pt>
                <c:pt idx="1">
                  <c:v>25.02</c:v>
                </c:pt>
                <c:pt idx="2">
                  <c:v>110.95</c:v>
                </c:pt>
                <c:pt idx="3">
                  <c:v>170.96</c:v>
                </c:pt>
                <c:pt idx="4">
                  <c:v>200.26</c:v>
                </c:pt>
                <c:pt idx="5">
                  <c:v>210.53</c:v>
                </c:pt>
                <c:pt idx="6">
                  <c:v>212.6</c:v>
                </c:pt>
                <c:pt idx="7">
                  <c:v>212.7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7C-4ED6-93FE-A1A68257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71520"/>
        <c:axId val="149377408"/>
      </c:scatterChart>
      <c:valAx>
        <c:axId val="149371520"/>
        <c:scaling>
          <c:orientation val="minMax"/>
          <c:max val="4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9377408"/>
        <c:crosses val="autoZero"/>
        <c:crossBetween val="midCat"/>
        <c:majorUnit val="5"/>
      </c:valAx>
      <c:valAx>
        <c:axId val="149377408"/>
        <c:scaling>
          <c:orientation val="minMax"/>
          <c:max val="2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9371520"/>
        <c:crosses val="autoZero"/>
        <c:crossBetween val="midCat"/>
        <c:majorUnit val="5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RSqr val="0"/>
            <c:dispEq val="1"/>
            <c:trendlineLbl>
              <c:layout>
                <c:manualLayout>
                  <c:x val="-0.12668095807395804"/>
                  <c:y val="2.777609497165414E-2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1"/>
            <c:dispEq val="0"/>
            <c:trendlineLbl>
              <c:layout>
                <c:manualLayout>
                  <c:x val="-0.27257501596084271"/>
                  <c:y val="9.1957479430127581E-2"/>
                </c:manualLayout>
              </c:layout>
              <c:numFmt formatCode="General" sourceLinked="0"/>
            </c:trendlineLbl>
          </c:trendline>
          <c:xVal>
            <c:numRef>
              <c:f>'fécondité G 47 (2)'!$D$2:$D$9</c:f>
              <c:numCache>
                <c:formatCode>General</c:formatCode>
                <c:ptCount val="8"/>
                <c:pt idx="0">
                  <c:v>2.7080000000000002</c:v>
                </c:pt>
                <c:pt idx="1">
                  <c:v>2.996</c:v>
                </c:pt>
                <c:pt idx="2">
                  <c:v>3.2189999999999999</c:v>
                </c:pt>
                <c:pt idx="3">
                  <c:v>3.4009999999999998</c:v>
                </c:pt>
                <c:pt idx="4">
                  <c:v>3.5550000000000002</c:v>
                </c:pt>
                <c:pt idx="5">
                  <c:v>3.6890000000000001</c:v>
                </c:pt>
                <c:pt idx="6">
                  <c:v>3.8069999999999999</c:v>
                </c:pt>
                <c:pt idx="7">
                  <c:v>3.9119999999999999</c:v>
                </c:pt>
              </c:numCache>
            </c:numRef>
          </c:xVal>
          <c:yVal>
            <c:numRef>
              <c:f>'fécondité G 47 (2)'!$C$2:$C$9</c:f>
              <c:numCache>
                <c:formatCode>0</c:formatCode>
                <c:ptCount val="8"/>
                <c:pt idx="0">
                  <c:v>0</c:v>
                </c:pt>
                <c:pt idx="1">
                  <c:v>25.02</c:v>
                </c:pt>
                <c:pt idx="2">
                  <c:v>110.95</c:v>
                </c:pt>
                <c:pt idx="3">
                  <c:v>170.96</c:v>
                </c:pt>
                <c:pt idx="4">
                  <c:v>200.26</c:v>
                </c:pt>
                <c:pt idx="5">
                  <c:v>210.53</c:v>
                </c:pt>
                <c:pt idx="6">
                  <c:v>212.6</c:v>
                </c:pt>
                <c:pt idx="7">
                  <c:v>212.7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52-4693-9A1A-694E71946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11520"/>
        <c:axId val="148413056"/>
      </c:scatterChart>
      <c:valAx>
        <c:axId val="148411520"/>
        <c:scaling>
          <c:orientation val="minMax"/>
          <c:max val="4"/>
          <c:min val="2.5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8413056"/>
        <c:crosses val="autoZero"/>
        <c:crossBetween val="midCat"/>
        <c:majorUnit val="0.5"/>
      </c:valAx>
      <c:valAx>
        <c:axId val="148413056"/>
        <c:scaling>
          <c:orientation val="minMax"/>
          <c:max val="2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8411520"/>
        <c:crosses val="autoZero"/>
        <c:crossBetween val="midCat"/>
        <c:majorUnit val="5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83E-2"/>
          <c:w val="0.69916294247002908"/>
          <c:h val="0.847999315985580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exp"/>
            <c:forward val="5"/>
            <c:dispRSqr val="0"/>
            <c:dispEq val="0"/>
          </c:trendline>
          <c:xVal>
            <c:numRef>
              <c:f>'mortalité 2004'!$A$2:$A$9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2004'!$B$2:$B$9</c:f>
              <c:numCache>
                <c:formatCode>0.00000</c:formatCode>
                <c:ptCount val="8"/>
                <c:pt idx="0">
                  <c:v>1.1360625834727633E-3</c:v>
                </c:pt>
                <c:pt idx="1">
                  <c:v>5.6367980232598924E-3</c:v>
                </c:pt>
                <c:pt idx="2">
                  <c:v>1.5466242771557615E-2</c:v>
                </c:pt>
                <c:pt idx="3">
                  <c:v>3.8132918872819443E-2</c:v>
                </c:pt>
                <c:pt idx="4">
                  <c:v>7.85897188275132E-2</c:v>
                </c:pt>
                <c:pt idx="5">
                  <c:v>0.1337609507752523</c:v>
                </c:pt>
                <c:pt idx="6">
                  <c:v>0.21260255399858896</c:v>
                </c:pt>
                <c:pt idx="7">
                  <c:v>0.29136530699556418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A9-4F67-AACB-A591FEC4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4640"/>
        <c:axId val="146226176"/>
      </c:scatterChart>
      <c:valAx>
        <c:axId val="146224640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226176"/>
        <c:crosses val="autoZero"/>
        <c:crossBetween val="midCat"/>
        <c:majorUnit val="10"/>
      </c:valAx>
      <c:valAx>
        <c:axId val="14622617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224640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'mortalité 2004'!$A$2:$A$9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2004'!$B$2:$B$9</c:f>
              <c:numCache>
                <c:formatCode>0.00000</c:formatCode>
                <c:ptCount val="8"/>
                <c:pt idx="0">
                  <c:v>1.1360625834727633E-3</c:v>
                </c:pt>
                <c:pt idx="1">
                  <c:v>5.6367980232598924E-3</c:v>
                </c:pt>
                <c:pt idx="2">
                  <c:v>1.5466242771557615E-2</c:v>
                </c:pt>
                <c:pt idx="3">
                  <c:v>3.8132918872819443E-2</c:v>
                </c:pt>
                <c:pt idx="4">
                  <c:v>7.85897188275132E-2</c:v>
                </c:pt>
                <c:pt idx="5">
                  <c:v>0.1337609507752523</c:v>
                </c:pt>
                <c:pt idx="6">
                  <c:v>0.21260255399858896</c:v>
                </c:pt>
                <c:pt idx="7">
                  <c:v>0.29136530699556418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7B-4EC4-AD84-BC2E1361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66752"/>
        <c:axId val="146149760"/>
      </c:scatterChart>
      <c:valAx>
        <c:axId val="146266752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149760"/>
        <c:crosses val="autoZero"/>
        <c:crossBetween val="midCat"/>
        <c:majorUnit val="10"/>
      </c:valAx>
      <c:valAx>
        <c:axId val="14614976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266752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28750798042138"/>
          <c:y val="4.1006548158453976E-2"/>
          <c:w val="0.69916294247002908"/>
          <c:h val="0.84799931598558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exp"/>
            <c:dispRSqr val="0"/>
            <c:dispEq val="1"/>
            <c:trendlineLbl>
              <c:layout>
                <c:manualLayout>
                  <c:x val="-0.27719318134971349"/>
                  <c:y val="-4.3137321422296968E-2"/>
                </c:manualLayout>
              </c:layout>
              <c:numFmt formatCode="General" sourceLinked="0"/>
            </c:trendlineLbl>
          </c:trendline>
          <c:xVal>
            <c:numRef>
              <c:f>'mortalité 2004'!$A$2:$A$9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</c:numCache>
            </c:numRef>
          </c:xVal>
          <c:yVal>
            <c:numRef>
              <c:f>'mortalité 2004'!$B$2:$B$9</c:f>
              <c:numCache>
                <c:formatCode>0.00000</c:formatCode>
                <c:ptCount val="8"/>
                <c:pt idx="0">
                  <c:v>1.1360625834727633E-3</c:v>
                </c:pt>
                <c:pt idx="1">
                  <c:v>5.6367980232598924E-3</c:v>
                </c:pt>
                <c:pt idx="2">
                  <c:v>1.5466242771557615E-2</c:v>
                </c:pt>
                <c:pt idx="3">
                  <c:v>3.8132918872819443E-2</c:v>
                </c:pt>
                <c:pt idx="4">
                  <c:v>7.85897188275132E-2</c:v>
                </c:pt>
                <c:pt idx="5">
                  <c:v>0.1337609507752523</c:v>
                </c:pt>
                <c:pt idx="6">
                  <c:v>0.21260255399858896</c:v>
                </c:pt>
                <c:pt idx="7">
                  <c:v>0.29136530699556418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F8-480B-A7DB-9A4A29CB9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73952"/>
        <c:axId val="146175488"/>
      </c:scatterChart>
      <c:valAx>
        <c:axId val="146173952"/>
        <c:scaling>
          <c:orientation val="minMax"/>
          <c:max val="100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6175488"/>
        <c:crosses val="autoZero"/>
        <c:crossBetween val="midCat"/>
        <c:majorUnit val="10"/>
      </c:valAx>
      <c:valAx>
        <c:axId val="14617548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6173952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7</xdr:col>
      <xdr:colOff>533400</xdr:colOff>
      <xdr:row>15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0.03693</cdr:y>
    </cdr:from>
    <cdr:to>
      <cdr:x>0.49738</cdr:x>
      <cdr:y>0.13387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1920"/>
          <a:ext cx="73152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aseline="-25000"/>
            <a:t>1</a:t>
          </a:r>
          <a:r>
            <a:rPr lang="fr-FR" sz="1100"/>
            <a:t>q</a:t>
          </a:r>
          <a:r>
            <a:rPr lang="fr-FR" sz="1100" baseline="-25000"/>
            <a:t>x</a:t>
          </a:r>
        </a:p>
      </cdr:txBody>
    </cdr:sp>
  </cdr:relSizeAnchor>
  <cdr:relSizeAnchor xmlns:cdr="http://schemas.openxmlformats.org/drawingml/2006/chartDrawing">
    <cdr:from>
      <cdr:x>0.77225</cdr:x>
      <cdr:y>0.80323</cdr:y>
    </cdr:from>
    <cdr:to>
      <cdr:x>0.96859</cdr:x>
      <cdr:y>0.88402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47900" y="2651760"/>
          <a:ext cx="571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Age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0.03693</cdr:y>
    </cdr:from>
    <cdr:to>
      <cdr:x>0.49738</cdr:x>
      <cdr:y>0.13387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1920"/>
          <a:ext cx="73152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aseline="0"/>
            <a:t>ln(</a:t>
          </a:r>
          <a:r>
            <a:rPr lang="fr-FR" sz="1100" baseline="-25000"/>
            <a:t>1</a:t>
          </a:r>
          <a:r>
            <a:rPr lang="fr-FR" sz="1100"/>
            <a:t>q</a:t>
          </a:r>
          <a:r>
            <a:rPr lang="fr-FR" sz="1100" baseline="-25000"/>
            <a:t>x</a:t>
          </a:r>
          <a:r>
            <a:rPr lang="fr-FR" sz="1100" baseline="0"/>
            <a:t>)</a:t>
          </a:r>
        </a:p>
      </cdr:txBody>
    </cdr:sp>
  </cdr:relSizeAnchor>
  <cdr:relSizeAnchor xmlns:cdr="http://schemas.openxmlformats.org/drawingml/2006/chartDrawing">
    <cdr:from>
      <cdr:x>0.77225</cdr:x>
      <cdr:y>0.80323</cdr:y>
    </cdr:from>
    <cdr:to>
      <cdr:x>0.96859</cdr:x>
      <cdr:y>0.88402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47900" y="2651760"/>
          <a:ext cx="571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Age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0.03693</cdr:y>
    </cdr:from>
    <cdr:to>
      <cdr:x>0.49738</cdr:x>
      <cdr:y>0.13387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1920"/>
          <a:ext cx="73152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aseline="0"/>
            <a:t>log(</a:t>
          </a:r>
          <a:r>
            <a:rPr lang="fr-FR" sz="1100" baseline="-25000"/>
            <a:t>1</a:t>
          </a:r>
          <a:r>
            <a:rPr lang="fr-FR" sz="1100"/>
            <a:t>q</a:t>
          </a:r>
          <a:r>
            <a:rPr lang="fr-FR" sz="1100" baseline="-25000"/>
            <a:t>x</a:t>
          </a:r>
          <a:r>
            <a:rPr lang="fr-FR" sz="1100" baseline="0"/>
            <a:t>)</a:t>
          </a:r>
        </a:p>
      </cdr:txBody>
    </cdr:sp>
  </cdr:relSizeAnchor>
  <cdr:relSizeAnchor xmlns:cdr="http://schemas.openxmlformats.org/drawingml/2006/chartDrawing">
    <cdr:from>
      <cdr:x>0.77225</cdr:x>
      <cdr:y>0.80323</cdr:y>
    </cdr:from>
    <cdr:to>
      <cdr:x>0.96859</cdr:x>
      <cdr:y>0.88402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47900" y="2651760"/>
          <a:ext cx="571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Age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533400</xdr:colOff>
      <xdr:row>19</xdr:row>
      <xdr:rowOff>9524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533400</xdr:colOff>
      <xdr:row>19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0.62162</cdr:x>
      <cdr:y>0.06648</cdr:y>
    </cdr:from>
    <cdr:to>
      <cdr:x>0.80068</cdr:x>
      <cdr:y>0.16621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52599" y="228600"/>
          <a:ext cx="504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H. G.</a:t>
          </a:r>
        </a:p>
      </cdr:txBody>
    </cdr:sp>
  </cdr:relSizeAnchor>
  <cdr:relSizeAnchor xmlns:cdr="http://schemas.openxmlformats.org/drawingml/2006/chartDrawing">
    <cdr:from>
      <cdr:x>0.31419</cdr:x>
      <cdr:y>0.7867</cdr:y>
    </cdr:from>
    <cdr:to>
      <cdr:x>0.50338</cdr:x>
      <cdr:y>0.88366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85825" y="2705100"/>
          <a:ext cx="533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P. M.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0.28131</cdr:x>
      <cdr:y>0.37115</cdr:y>
    </cdr:from>
    <cdr:to>
      <cdr:x>0.5</cdr:x>
      <cdr:y>0.47088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18836" y="1225315"/>
          <a:ext cx="636584" cy="329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Gebre.</a:t>
          </a:r>
        </a:p>
      </cdr:txBody>
    </cdr:sp>
  </cdr:relSizeAnchor>
  <cdr:relSizeAnchor xmlns:cdr="http://schemas.openxmlformats.org/drawingml/2006/chartDrawing">
    <cdr:from>
      <cdr:x>0.46864</cdr:x>
      <cdr:y>0.73362</cdr:y>
    </cdr:from>
    <cdr:to>
      <cdr:x>0.69633</cdr:x>
      <cdr:y>0.83058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364135" y="2421939"/>
          <a:ext cx="662770" cy="32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Makam</a:t>
          </a:r>
        </a:p>
      </cdr:txBody>
    </cdr:sp>
  </cdr:relSizeAnchor>
  <cdr:relSizeAnchor xmlns:cdr="http://schemas.openxmlformats.org/drawingml/2006/chartDrawing">
    <cdr:from>
      <cdr:x>0.67539</cdr:x>
      <cdr:y>0.12926</cdr:y>
    </cdr:from>
    <cdr:to>
      <cdr:x>0.88291</cdr:x>
      <cdr:y>0.22622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965960" y="426720"/>
          <a:ext cx="604042" cy="32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/>
            <a:t>Tergat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9</xdr:col>
      <xdr:colOff>533400</xdr:colOff>
      <xdr:row>21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176348</xdr:colOff>
      <xdr:row>20</xdr:row>
      <xdr:rowOff>9524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/>
      </xdr:nvGrpSpPr>
      <xdr:grpSpPr>
        <a:xfrm>
          <a:off x="3048000" y="381000"/>
          <a:ext cx="7796348" cy="3438524"/>
          <a:chOff x="3178629" y="370114"/>
          <a:chExt cx="8122919" cy="3340553"/>
        </a:xfrm>
      </xdr:grpSpPr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aphicFramePr/>
        </xdr:nvGraphicFramePr>
        <xdr:xfrm>
          <a:off x="3178629" y="370114"/>
          <a:ext cx="2910840" cy="33013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GraphicFramePr/>
        </xdr:nvGraphicFramePr>
        <xdr:xfrm>
          <a:off x="5791199" y="370114"/>
          <a:ext cx="2910840" cy="33013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GraphicFramePr/>
        </xdr:nvGraphicFramePr>
        <xdr:xfrm>
          <a:off x="8382000" y="370114"/>
          <a:ext cx="2919548" cy="33405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533400</xdr:colOff>
      <xdr:row>16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533400</xdr:colOff>
      <xdr:row>19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12</xdr:col>
      <xdr:colOff>533400</xdr:colOff>
      <xdr:row>19</xdr:row>
      <xdr:rowOff>9524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0.03924</cdr:y>
    </cdr:from>
    <cdr:to>
      <cdr:x>0.42932</cdr:x>
      <cdr:y>0.12464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9540"/>
          <a:ext cx="5334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Dx</a:t>
          </a:r>
        </a:p>
      </cdr:txBody>
    </cdr:sp>
  </cdr:relSizeAnchor>
  <cdr:relSizeAnchor xmlns:cdr="http://schemas.openxmlformats.org/drawingml/2006/chartDrawing">
    <cdr:from>
      <cdr:x>0.68848</cdr:x>
      <cdr:y>0.77323</cdr:y>
    </cdr:from>
    <cdr:to>
      <cdr:x>0.92932</cdr:x>
      <cdr:y>0.87017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04060" y="2552700"/>
          <a:ext cx="701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algn="r"/>
          <a:r>
            <a:rPr lang="fr-FR" sz="1100"/>
            <a:t>Age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0.03924</cdr:y>
    </cdr:from>
    <cdr:to>
      <cdr:x>0.42932</cdr:x>
      <cdr:y>0.12464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9540"/>
          <a:ext cx="5334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Dx</a:t>
          </a:r>
        </a:p>
      </cdr:txBody>
    </cdr:sp>
  </cdr:relSizeAnchor>
  <cdr:relSizeAnchor xmlns:cdr="http://schemas.openxmlformats.org/drawingml/2006/chartDrawing">
    <cdr:from>
      <cdr:x>0.68848</cdr:x>
      <cdr:y>0.77323</cdr:y>
    </cdr:from>
    <cdr:to>
      <cdr:x>0.92932</cdr:x>
      <cdr:y>0.87017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04060" y="2552700"/>
          <a:ext cx="701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algn="r"/>
          <a:r>
            <a:rPr lang="fr-FR" sz="1100"/>
            <a:t>ln (Age)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533400</xdr:colOff>
      <xdr:row>19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12</xdr:col>
      <xdr:colOff>533400</xdr:colOff>
      <xdr:row>19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0.03924</cdr:y>
    </cdr:from>
    <cdr:to>
      <cdr:x>0.42932</cdr:x>
      <cdr:y>0.12464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9540"/>
          <a:ext cx="5334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Dx</a:t>
          </a:r>
        </a:p>
      </cdr:txBody>
    </cdr:sp>
  </cdr:relSizeAnchor>
  <cdr:relSizeAnchor xmlns:cdr="http://schemas.openxmlformats.org/drawingml/2006/chartDrawing">
    <cdr:from>
      <cdr:x>0.68848</cdr:x>
      <cdr:y>0.77323</cdr:y>
    </cdr:from>
    <cdr:to>
      <cdr:x>0.92932</cdr:x>
      <cdr:y>0.87017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04060" y="2552700"/>
          <a:ext cx="701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algn="r"/>
          <a:r>
            <a:rPr lang="fr-FR" sz="1100"/>
            <a:t>Age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0.24607</cdr:x>
      <cdr:y>0.03924</cdr:y>
    </cdr:from>
    <cdr:to>
      <cdr:x>0.42932</cdr:x>
      <cdr:y>0.12464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9540"/>
          <a:ext cx="5334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Dx</a:t>
          </a:r>
        </a:p>
      </cdr:txBody>
    </cdr:sp>
  </cdr:relSizeAnchor>
  <cdr:relSizeAnchor xmlns:cdr="http://schemas.openxmlformats.org/drawingml/2006/chartDrawing">
    <cdr:from>
      <cdr:x>0.68848</cdr:x>
      <cdr:y>0.77323</cdr:y>
    </cdr:from>
    <cdr:to>
      <cdr:x>0.92932</cdr:x>
      <cdr:y>0.87017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04060" y="2552700"/>
          <a:ext cx="701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 anchorCtr="0"/>
        <a:lstStyle xmlns:a="http://schemas.openxmlformats.org/drawingml/2006/main"/>
        <a:p xmlns:a="http://schemas.openxmlformats.org/drawingml/2006/main">
          <a:pPr algn="r"/>
          <a:r>
            <a:rPr lang="fr-FR" sz="1100"/>
            <a:t>ln (Age)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533400</xdr:colOff>
      <xdr:row>18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533400</xdr:colOff>
      <xdr:row>18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8</xdr:col>
      <xdr:colOff>533400</xdr:colOff>
      <xdr:row>42</xdr:row>
      <xdr:rowOff>9524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213360</xdr:colOff>
      <xdr:row>24</xdr:row>
      <xdr:rowOff>0</xdr:rowOff>
    </xdr:from>
    <xdr:to>
      <xdr:col>11</xdr:col>
      <xdr:colOff>746760</xdr:colOff>
      <xdr:row>42</xdr:row>
      <xdr:rowOff>9524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464820</xdr:colOff>
      <xdr:row>24</xdr:row>
      <xdr:rowOff>7620</xdr:rowOff>
    </xdr:from>
    <xdr:to>
      <xdr:col>15</xdr:col>
      <xdr:colOff>205740</xdr:colOff>
      <xdr:row>42</xdr:row>
      <xdr:rowOff>17144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opLeftCell="A4" workbookViewId="0">
      <selection activeCell="E27" sqref="E27"/>
    </sheetView>
  </sheetViews>
  <sheetFormatPr baseColWidth="10" defaultRowHeight="15" x14ac:dyDescent="0.25"/>
  <sheetData>
    <row r="1" spans="1:3" ht="15.75" thickBot="1" x14ac:dyDescent="0.3">
      <c r="A1" s="32" t="s">
        <v>0</v>
      </c>
      <c r="B1" s="33"/>
      <c r="C1" s="34"/>
    </row>
    <row r="2" spans="1:3" ht="45.75" thickBot="1" x14ac:dyDescent="0.3">
      <c r="A2" s="1" t="s">
        <v>1</v>
      </c>
      <c r="B2" s="2" t="s">
        <v>2</v>
      </c>
      <c r="C2" s="3" t="s">
        <v>3</v>
      </c>
    </row>
    <row r="3" spans="1:3" x14ac:dyDescent="0.25">
      <c r="A3" s="4">
        <v>1950</v>
      </c>
      <c r="B3" s="5">
        <v>1005</v>
      </c>
      <c r="C3" s="6">
        <v>1258</v>
      </c>
    </row>
    <row r="4" spans="1:3" x14ac:dyDescent="0.25">
      <c r="A4" s="4">
        <v>1955</v>
      </c>
      <c r="B4" s="5">
        <v>1042</v>
      </c>
      <c r="C4" s="6">
        <v>1748</v>
      </c>
    </row>
    <row r="5" spans="1:3" x14ac:dyDescent="0.25">
      <c r="A5" s="4">
        <v>1960</v>
      </c>
      <c r="B5" s="5">
        <v>1101</v>
      </c>
      <c r="C5" s="6">
        <v>2114</v>
      </c>
    </row>
    <row r="6" spans="1:3" x14ac:dyDescent="0.25">
      <c r="A6" s="4">
        <v>1965</v>
      </c>
      <c r="B6" s="5">
        <v>1199</v>
      </c>
      <c r="C6" s="6">
        <v>2563</v>
      </c>
    </row>
    <row r="7" spans="1:3" x14ac:dyDescent="0.25">
      <c r="A7" s="4">
        <v>1970</v>
      </c>
      <c r="B7" s="5">
        <v>1096</v>
      </c>
      <c r="C7" s="6">
        <v>2898</v>
      </c>
    </row>
    <row r="8" spans="1:3" x14ac:dyDescent="0.25">
      <c r="A8" s="4">
        <v>1975</v>
      </c>
      <c r="B8" s="5">
        <v>1255</v>
      </c>
      <c r="C8" s="6">
        <v>3358</v>
      </c>
    </row>
    <row r="9" spans="1:3" x14ac:dyDescent="0.25">
      <c r="A9" s="4">
        <v>1980</v>
      </c>
      <c r="B9" s="5">
        <v>1476</v>
      </c>
      <c r="C9" s="6">
        <v>3764</v>
      </c>
    </row>
    <row r="10" spans="1:3" x14ac:dyDescent="0.25">
      <c r="A10" s="4">
        <v>1985</v>
      </c>
      <c r="B10" s="5">
        <v>1783</v>
      </c>
      <c r="C10" s="6">
        <v>4103</v>
      </c>
    </row>
    <row r="11" spans="1:3" x14ac:dyDescent="0.25">
      <c r="A11" s="4">
        <v>1990</v>
      </c>
      <c r="B11" s="5">
        <v>2154</v>
      </c>
      <c r="C11" s="6">
        <v>4514</v>
      </c>
    </row>
    <row r="12" spans="1:3" x14ac:dyDescent="0.25">
      <c r="A12" s="4">
        <v>1995</v>
      </c>
      <c r="B12" s="5">
        <v>2610</v>
      </c>
      <c r="C12" s="6">
        <v>5374</v>
      </c>
    </row>
    <row r="13" spans="1:3" x14ac:dyDescent="0.25">
      <c r="A13" s="4">
        <v>2000</v>
      </c>
      <c r="B13" s="5">
        <v>3150</v>
      </c>
      <c r="C13" s="6">
        <v>6084</v>
      </c>
    </row>
    <row r="14" spans="1:3" ht="15.75" thickBot="1" x14ac:dyDescent="0.3">
      <c r="A14" s="7">
        <v>2005</v>
      </c>
      <c r="B14" s="8">
        <v>3702</v>
      </c>
      <c r="C14" s="9">
        <v>6725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J11" sqref="J11"/>
    </sheetView>
  </sheetViews>
  <sheetFormatPr baseColWidth="10" defaultRowHeight="15" x14ac:dyDescent="0.25"/>
  <sheetData>
    <row r="1" spans="1:2" ht="30.75" thickBot="1" x14ac:dyDescent="0.3">
      <c r="A1" s="1" t="s">
        <v>1</v>
      </c>
      <c r="B1" s="2" t="s">
        <v>4</v>
      </c>
    </row>
    <row r="2" spans="1:2" x14ac:dyDescent="0.25">
      <c r="A2" s="4">
        <v>1985</v>
      </c>
      <c r="B2" s="5">
        <v>330000</v>
      </c>
    </row>
    <row r="3" spans="1:2" x14ac:dyDescent="0.25">
      <c r="A3" s="4">
        <v>1987</v>
      </c>
      <c r="B3" s="5">
        <v>431000</v>
      </c>
    </row>
    <row r="4" spans="1:2" x14ac:dyDescent="0.25">
      <c r="A4" s="4">
        <v>1989</v>
      </c>
      <c r="B4" s="5">
        <v>575000</v>
      </c>
    </row>
    <row r="5" spans="1:2" x14ac:dyDescent="0.25">
      <c r="A5" s="4">
        <v>1991</v>
      </c>
      <c r="B5" s="5">
        <v>927000</v>
      </c>
    </row>
    <row r="6" spans="1:2" x14ac:dyDescent="0.25">
      <c r="A6" s="4">
        <v>1993</v>
      </c>
      <c r="B6" s="5">
        <v>1300000</v>
      </c>
    </row>
    <row r="7" spans="1:2" x14ac:dyDescent="0.25">
      <c r="A7" s="4">
        <v>1995</v>
      </c>
      <c r="B7" s="5">
        <v>1800000</v>
      </c>
    </row>
    <row r="8" spans="1:2" x14ac:dyDescent="0.25">
      <c r="A8" s="4">
        <v>1997</v>
      </c>
      <c r="B8" s="5">
        <v>2300000</v>
      </c>
    </row>
    <row r="9" spans="1:2" x14ac:dyDescent="0.25">
      <c r="A9" s="4">
        <v>1999</v>
      </c>
      <c r="B9" s="5">
        <v>3000000</v>
      </c>
    </row>
    <row r="10" spans="1:2" x14ac:dyDescent="0.25">
      <c r="A10" s="10">
        <v>2001</v>
      </c>
      <c r="B10" s="11">
        <v>4200000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zoomScale="70" zoomScaleNormal="70" workbookViewId="0">
      <selection activeCell="D16" sqref="D16"/>
    </sheetView>
  </sheetViews>
  <sheetFormatPr baseColWidth="10" defaultRowHeight="15" x14ac:dyDescent="0.25"/>
  <cols>
    <col min="2" max="3" width="18" customWidth="1"/>
  </cols>
  <sheetData>
    <row r="1" spans="1:4" s="29" customFormat="1" ht="45" x14ac:dyDescent="0.25">
      <c r="A1" s="29" t="s">
        <v>5</v>
      </c>
      <c r="B1" s="29" t="s">
        <v>6</v>
      </c>
      <c r="C1" s="29" t="s">
        <v>7</v>
      </c>
      <c r="D1" s="29" t="s">
        <v>57</v>
      </c>
    </row>
    <row r="2" spans="1:4" x14ac:dyDescent="0.25">
      <c r="A2">
        <v>15</v>
      </c>
      <c r="B2">
        <v>0</v>
      </c>
      <c r="C2" s="12">
        <f>B2/100</f>
        <v>0</v>
      </c>
      <c r="D2">
        <f>ROUND(LN(A2),3)</f>
        <v>2.7080000000000002</v>
      </c>
    </row>
    <row r="3" spans="1:4" x14ac:dyDescent="0.25">
      <c r="A3">
        <v>20</v>
      </c>
      <c r="B3">
        <v>2502</v>
      </c>
      <c r="C3" s="12">
        <f t="shared" ref="C3:C9" si="0">B3/100</f>
        <v>25.02</v>
      </c>
      <c r="D3">
        <f t="shared" ref="D3:D9" si="1">ROUND(LN(A3),3)</f>
        <v>2.996</v>
      </c>
    </row>
    <row r="4" spans="1:4" x14ac:dyDescent="0.25">
      <c r="A4">
        <v>25</v>
      </c>
      <c r="B4">
        <v>11095</v>
      </c>
      <c r="C4" s="12">
        <f t="shared" si="0"/>
        <v>110.95</v>
      </c>
      <c r="D4">
        <f t="shared" si="1"/>
        <v>3.2189999999999999</v>
      </c>
    </row>
    <row r="5" spans="1:4" x14ac:dyDescent="0.25">
      <c r="A5">
        <v>30</v>
      </c>
      <c r="B5">
        <v>17096</v>
      </c>
      <c r="C5" s="12">
        <f t="shared" si="0"/>
        <v>170.96</v>
      </c>
      <c r="D5">
        <f t="shared" si="1"/>
        <v>3.4009999999999998</v>
      </c>
    </row>
    <row r="6" spans="1:4" x14ac:dyDescent="0.25">
      <c r="A6">
        <v>35</v>
      </c>
      <c r="B6">
        <v>20026</v>
      </c>
      <c r="C6" s="12">
        <f t="shared" si="0"/>
        <v>200.26</v>
      </c>
      <c r="D6">
        <f t="shared" si="1"/>
        <v>3.5550000000000002</v>
      </c>
    </row>
    <row r="7" spans="1:4" x14ac:dyDescent="0.25">
      <c r="A7">
        <v>40</v>
      </c>
      <c r="B7">
        <v>21053</v>
      </c>
      <c r="C7" s="12">
        <f t="shared" si="0"/>
        <v>210.53</v>
      </c>
      <c r="D7">
        <f t="shared" si="1"/>
        <v>3.6890000000000001</v>
      </c>
    </row>
    <row r="8" spans="1:4" x14ac:dyDescent="0.25">
      <c r="A8">
        <v>45</v>
      </c>
      <c r="B8">
        <v>21260</v>
      </c>
      <c r="C8" s="12">
        <f t="shared" si="0"/>
        <v>212.6</v>
      </c>
      <c r="D8">
        <f t="shared" si="1"/>
        <v>3.8069999999999999</v>
      </c>
    </row>
    <row r="9" spans="1:4" x14ac:dyDescent="0.25">
      <c r="A9">
        <v>50</v>
      </c>
      <c r="B9">
        <v>21270</v>
      </c>
      <c r="C9" s="12">
        <f t="shared" si="0"/>
        <v>212.7</v>
      </c>
      <c r="D9">
        <f t="shared" si="1"/>
        <v>3.9119999999999999</v>
      </c>
    </row>
    <row r="12" spans="1:4" x14ac:dyDescent="0.25">
      <c r="A12" s="29" t="s">
        <v>58</v>
      </c>
      <c r="B12" t="s">
        <v>59</v>
      </c>
      <c r="C12" t="s">
        <v>60</v>
      </c>
    </row>
    <row r="13" spans="1:4" x14ac:dyDescent="0.25">
      <c r="A13">
        <v>15</v>
      </c>
      <c r="B13" s="12">
        <v>0</v>
      </c>
      <c r="C13">
        <v>2.7080000000000002</v>
      </c>
    </row>
    <row r="14" spans="1:4" x14ac:dyDescent="0.25">
      <c r="A14">
        <v>20</v>
      </c>
      <c r="B14" s="12">
        <v>25.02</v>
      </c>
      <c r="C14">
        <v>2.996</v>
      </c>
    </row>
    <row r="15" spans="1:4" x14ac:dyDescent="0.25">
      <c r="A15">
        <v>25</v>
      </c>
      <c r="B15" s="12">
        <v>110.95</v>
      </c>
      <c r="C15">
        <v>3.2189999999999999</v>
      </c>
    </row>
    <row r="16" spans="1:4" x14ac:dyDescent="0.25">
      <c r="A16">
        <v>30</v>
      </c>
      <c r="B16" s="12">
        <v>170.96</v>
      </c>
      <c r="C16">
        <v>3.4009999999999998</v>
      </c>
    </row>
    <row r="17" spans="1:3" x14ac:dyDescent="0.25">
      <c r="A17">
        <v>35</v>
      </c>
      <c r="B17" s="12">
        <v>200.26</v>
      </c>
      <c r="C17">
        <v>3.5550000000000002</v>
      </c>
    </row>
    <row r="18" spans="1:3" x14ac:dyDescent="0.25">
      <c r="A18">
        <v>40</v>
      </c>
      <c r="B18" s="12">
        <v>210.53</v>
      </c>
      <c r="C18">
        <v>3.6890000000000001</v>
      </c>
    </row>
    <row r="19" spans="1:3" x14ac:dyDescent="0.25">
      <c r="A19" t="s">
        <v>40</v>
      </c>
      <c r="B19" s="12">
        <f>AVERAGE(B13:B18)</f>
        <v>119.62</v>
      </c>
      <c r="C19">
        <f>ROUND(AVERAGE(C13:C18),3)</f>
        <v>3.2610000000000001</v>
      </c>
    </row>
    <row r="22" spans="1:3" x14ac:dyDescent="0.25">
      <c r="A22" t="s">
        <v>21</v>
      </c>
      <c r="B22" s="30">
        <f>ROUND(SLOPE(B13:B18,C13:C18),1)</f>
        <v>242</v>
      </c>
    </row>
    <row r="23" spans="1:3" x14ac:dyDescent="0.25">
      <c r="A23" t="s">
        <v>22</v>
      </c>
      <c r="B23">
        <f>ROUND(B19-B22*C19,1)</f>
        <v>-669.5</v>
      </c>
      <c r="C23">
        <f>INTERCEPT(B13:B18,C13:C18)</f>
        <v>-669.47620547591953</v>
      </c>
    </row>
    <row r="24" spans="1:3" x14ac:dyDescent="0.25">
      <c r="A24" t="s">
        <v>54</v>
      </c>
      <c r="B24">
        <f>ROUND(RSQ(B13:B18,C13:C18),2)</f>
        <v>0.96</v>
      </c>
    </row>
    <row r="25" spans="1:3" x14ac:dyDescent="0.25">
      <c r="A25" t="s">
        <v>56</v>
      </c>
      <c r="B25">
        <f>ROUND(CORREL(B13:B18,C13:C18),2)</f>
        <v>0.98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zoomScale="85" zoomScaleNormal="85" workbookViewId="0">
      <selection activeCell="A28" sqref="A28"/>
    </sheetView>
  </sheetViews>
  <sheetFormatPr baseColWidth="10" defaultRowHeight="15" x14ac:dyDescent="0.25"/>
  <cols>
    <col min="2" max="3" width="18" customWidth="1"/>
  </cols>
  <sheetData>
    <row r="1" spans="1:4" s="29" customFormat="1" ht="45" x14ac:dyDescent="0.25">
      <c r="A1" s="29" t="s">
        <v>5</v>
      </c>
      <c r="B1" s="29" t="s">
        <v>6</v>
      </c>
      <c r="C1" s="29" t="s">
        <v>7</v>
      </c>
      <c r="D1" s="29" t="s">
        <v>57</v>
      </c>
    </row>
    <row r="2" spans="1:4" x14ac:dyDescent="0.25">
      <c r="A2">
        <v>15</v>
      </c>
      <c r="B2">
        <v>0</v>
      </c>
      <c r="C2" s="12">
        <f>B2/100</f>
        <v>0</v>
      </c>
      <c r="D2">
        <f>ROUND(LN(A2),3)</f>
        <v>2.7080000000000002</v>
      </c>
    </row>
    <row r="3" spans="1:4" x14ac:dyDescent="0.25">
      <c r="A3">
        <v>20</v>
      </c>
      <c r="B3">
        <v>2502</v>
      </c>
      <c r="C3" s="12">
        <f t="shared" ref="C3:C9" si="0">B3/100</f>
        <v>25.02</v>
      </c>
      <c r="D3">
        <f t="shared" ref="D3:D9" si="1">ROUND(LN(A3),3)</f>
        <v>2.996</v>
      </c>
    </row>
    <row r="4" spans="1:4" x14ac:dyDescent="0.25">
      <c r="A4">
        <v>25</v>
      </c>
      <c r="B4">
        <v>11095</v>
      </c>
      <c r="C4" s="12">
        <f t="shared" si="0"/>
        <v>110.95</v>
      </c>
      <c r="D4">
        <f t="shared" si="1"/>
        <v>3.2189999999999999</v>
      </c>
    </row>
    <row r="5" spans="1:4" x14ac:dyDescent="0.25">
      <c r="A5">
        <v>30</v>
      </c>
      <c r="B5">
        <v>17096</v>
      </c>
      <c r="C5" s="12">
        <f t="shared" si="0"/>
        <v>170.96</v>
      </c>
      <c r="D5">
        <f t="shared" si="1"/>
        <v>3.4009999999999998</v>
      </c>
    </row>
    <row r="6" spans="1:4" x14ac:dyDescent="0.25">
      <c r="A6">
        <v>35</v>
      </c>
      <c r="B6">
        <v>20026</v>
      </c>
      <c r="C6" s="12">
        <f t="shared" si="0"/>
        <v>200.26</v>
      </c>
      <c r="D6">
        <f t="shared" si="1"/>
        <v>3.5550000000000002</v>
      </c>
    </row>
    <row r="7" spans="1:4" x14ac:dyDescent="0.25">
      <c r="A7">
        <v>40</v>
      </c>
      <c r="B7">
        <v>21053</v>
      </c>
      <c r="C7" s="12">
        <f t="shared" si="0"/>
        <v>210.53</v>
      </c>
      <c r="D7">
        <f t="shared" si="1"/>
        <v>3.6890000000000001</v>
      </c>
    </row>
    <row r="8" spans="1:4" x14ac:dyDescent="0.25">
      <c r="A8">
        <v>45</v>
      </c>
      <c r="B8">
        <v>21260</v>
      </c>
      <c r="C8" s="12">
        <f t="shared" si="0"/>
        <v>212.6</v>
      </c>
      <c r="D8">
        <f t="shared" si="1"/>
        <v>3.8069999999999999</v>
      </c>
    </row>
    <row r="9" spans="1:4" x14ac:dyDescent="0.25">
      <c r="A9">
        <v>50</v>
      </c>
      <c r="B9">
        <v>21270</v>
      </c>
      <c r="C9" s="12">
        <f t="shared" si="0"/>
        <v>212.7</v>
      </c>
      <c r="D9">
        <f t="shared" si="1"/>
        <v>3.9119999999999999</v>
      </c>
    </row>
    <row r="12" spans="1:4" x14ac:dyDescent="0.25">
      <c r="A12" s="29" t="s">
        <v>58</v>
      </c>
      <c r="B12" t="s">
        <v>59</v>
      </c>
      <c r="C12" t="s">
        <v>60</v>
      </c>
    </row>
    <row r="13" spans="1:4" x14ac:dyDescent="0.25">
      <c r="A13">
        <v>15</v>
      </c>
      <c r="B13" s="12">
        <v>0</v>
      </c>
      <c r="C13">
        <v>2.7080000000000002</v>
      </c>
    </row>
    <row r="14" spans="1:4" x14ac:dyDescent="0.25">
      <c r="A14">
        <v>20</v>
      </c>
      <c r="B14" s="12">
        <v>25.02</v>
      </c>
      <c r="C14">
        <v>2.996</v>
      </c>
    </row>
    <row r="15" spans="1:4" x14ac:dyDescent="0.25">
      <c r="A15">
        <v>25</v>
      </c>
      <c r="B15" s="12">
        <v>110.95</v>
      </c>
      <c r="C15">
        <v>3.2189999999999999</v>
      </c>
    </row>
    <row r="16" spans="1:4" x14ac:dyDescent="0.25">
      <c r="A16">
        <v>30</v>
      </c>
      <c r="B16" s="12">
        <v>170.96</v>
      </c>
      <c r="C16">
        <v>3.4009999999999998</v>
      </c>
    </row>
    <row r="17" spans="1:3" x14ac:dyDescent="0.25">
      <c r="A17">
        <v>35</v>
      </c>
      <c r="B17" s="12">
        <v>200.26</v>
      </c>
      <c r="C17">
        <v>3.5550000000000002</v>
      </c>
    </row>
    <row r="18" spans="1:3" x14ac:dyDescent="0.25">
      <c r="A18">
        <v>40</v>
      </c>
      <c r="B18" s="12">
        <v>210.53</v>
      </c>
      <c r="C18">
        <v>3.6890000000000001</v>
      </c>
    </row>
    <row r="19" spans="1:3" x14ac:dyDescent="0.25">
      <c r="A19" t="s">
        <v>40</v>
      </c>
      <c r="B19" s="12">
        <f>AVERAGE(B13:B18)</f>
        <v>119.62</v>
      </c>
      <c r="C19">
        <f>ROUND(AVERAGE(C13:C18),3)</f>
        <v>3.2610000000000001</v>
      </c>
    </row>
    <row r="22" spans="1:3" x14ac:dyDescent="0.25">
      <c r="A22" t="s">
        <v>21</v>
      </c>
      <c r="B22" s="30">
        <f>ROUND(SLOPE(B13:B18,C13:C18),1)</f>
        <v>242</v>
      </c>
    </row>
    <row r="23" spans="1:3" x14ac:dyDescent="0.25">
      <c r="A23" t="s">
        <v>22</v>
      </c>
      <c r="B23">
        <f>ROUND(B19-B22*C19,1)</f>
        <v>-669.5</v>
      </c>
      <c r="C23">
        <f>INTERCEPT(B13:B18,C13:C18)</f>
        <v>-669.47620547591953</v>
      </c>
    </row>
    <row r="24" spans="1:3" x14ac:dyDescent="0.25">
      <c r="A24" t="s">
        <v>54</v>
      </c>
      <c r="B24">
        <f>ROUND(RSQ(B13:B18,C13:C18),2)</f>
        <v>0.96</v>
      </c>
    </row>
    <row r="25" spans="1:3" x14ac:dyDescent="0.25">
      <c r="A25" t="s">
        <v>56</v>
      </c>
      <c r="B25">
        <f>ROUND(CORREL(B13:B18,C13:C18),2)</f>
        <v>0.98</v>
      </c>
    </row>
    <row r="27" spans="1:3" x14ac:dyDescent="0.25">
      <c r="A27">
        <f>COVAR(D2:D9,C2:C9)</f>
        <v>30.608082187499996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zoomScale="70" zoomScaleNormal="70" workbookViewId="0">
      <selection activeCell="K23" sqref="K23"/>
    </sheetView>
  </sheetViews>
  <sheetFormatPr baseColWidth="10" defaultRowHeight="15" x14ac:dyDescent="0.25"/>
  <sheetData>
    <row r="1" spans="1:2" x14ac:dyDescent="0.25">
      <c r="A1" t="s">
        <v>5</v>
      </c>
      <c r="B1" t="s">
        <v>8</v>
      </c>
    </row>
    <row r="2" spans="1:2" x14ac:dyDescent="0.25">
      <c r="A2">
        <v>20</v>
      </c>
      <c r="B2" s="13">
        <v>1.1360625834727633E-3</v>
      </c>
    </row>
    <row r="3" spans="1:2" x14ac:dyDescent="0.25">
      <c r="A3">
        <v>40</v>
      </c>
      <c r="B3" s="13">
        <v>5.6367980232598924E-3</v>
      </c>
    </row>
    <row r="4" spans="1:2" x14ac:dyDescent="0.25">
      <c r="A4">
        <v>60</v>
      </c>
      <c r="B4" s="13">
        <v>1.5466242771557615E-2</v>
      </c>
    </row>
    <row r="5" spans="1:2" x14ac:dyDescent="0.25">
      <c r="A5">
        <v>70</v>
      </c>
      <c r="B5" s="13">
        <v>3.8132918872819443E-2</v>
      </c>
    </row>
    <row r="6" spans="1:2" x14ac:dyDescent="0.25">
      <c r="A6">
        <v>80</v>
      </c>
      <c r="B6" s="13">
        <v>7.85897188275132E-2</v>
      </c>
    </row>
    <row r="7" spans="1:2" x14ac:dyDescent="0.25">
      <c r="A7">
        <v>85</v>
      </c>
      <c r="B7" s="13">
        <v>0.1337609507752523</v>
      </c>
    </row>
    <row r="8" spans="1:2" x14ac:dyDescent="0.25">
      <c r="A8">
        <v>90</v>
      </c>
      <c r="B8" s="13">
        <v>0.21260255399858896</v>
      </c>
    </row>
    <row r="9" spans="1:2" x14ac:dyDescent="0.25">
      <c r="A9">
        <v>95</v>
      </c>
      <c r="B9" s="13">
        <v>0.29136530699556418</v>
      </c>
    </row>
    <row r="11" spans="1:2" x14ac:dyDescent="0.25">
      <c r="A11" t="s">
        <v>29</v>
      </c>
      <c r="B11">
        <f>COVAR(A2:A9,B2:B9)</f>
        <v>1.9862065111622327</v>
      </c>
    </row>
    <row r="23" spans="1:4" s="29" customFormat="1" ht="63" x14ac:dyDescent="0.25">
      <c r="A23" s="29" t="s">
        <v>58</v>
      </c>
      <c r="B23" s="29" t="s">
        <v>61</v>
      </c>
      <c r="C23" s="29" t="s">
        <v>63</v>
      </c>
      <c r="D23" s="29" t="s">
        <v>62</v>
      </c>
    </row>
    <row r="24" spans="1:4" x14ac:dyDescent="0.25">
      <c r="A24">
        <v>20</v>
      </c>
      <c r="B24" s="13">
        <v>1.1360625834727633E-3</v>
      </c>
      <c r="C24">
        <f>ROUND(LN(B24),4)</f>
        <v>-6.7801999999999998</v>
      </c>
      <c r="D24">
        <f>ROUND(LOG10(B24),4)</f>
        <v>-2.9445999999999999</v>
      </c>
    </row>
    <row r="25" spans="1:4" x14ac:dyDescent="0.25">
      <c r="A25">
        <v>40</v>
      </c>
      <c r="B25" s="13">
        <v>5.6367980232598924E-3</v>
      </c>
      <c r="C25">
        <f t="shared" ref="C25:C31" si="0">ROUND(LN(B25),4)</f>
        <v>-5.1783999999999999</v>
      </c>
      <c r="D25">
        <f t="shared" ref="D25:D31" si="1">ROUND(LOG10(B25),4)</f>
        <v>-2.2490000000000001</v>
      </c>
    </row>
    <row r="26" spans="1:4" x14ac:dyDescent="0.25">
      <c r="A26">
        <v>60</v>
      </c>
      <c r="B26" s="13">
        <v>1.5466242771557615E-2</v>
      </c>
      <c r="C26">
        <f t="shared" si="0"/>
        <v>-4.1691000000000003</v>
      </c>
      <c r="D26">
        <f t="shared" si="1"/>
        <v>-1.8106</v>
      </c>
    </row>
    <row r="27" spans="1:4" x14ac:dyDescent="0.25">
      <c r="A27">
        <v>70</v>
      </c>
      <c r="B27" s="13">
        <v>3.8132918872819443E-2</v>
      </c>
      <c r="C27">
        <f t="shared" si="0"/>
        <v>-3.2667000000000002</v>
      </c>
      <c r="D27">
        <f t="shared" si="1"/>
        <v>-1.4187000000000001</v>
      </c>
    </row>
    <row r="28" spans="1:4" x14ac:dyDescent="0.25">
      <c r="A28">
        <v>80</v>
      </c>
      <c r="B28" s="13">
        <v>7.85897188275132E-2</v>
      </c>
      <c r="C28">
        <f t="shared" si="0"/>
        <v>-2.5434999999999999</v>
      </c>
      <c r="D28">
        <f t="shared" si="1"/>
        <v>-1.1046</v>
      </c>
    </row>
    <row r="29" spans="1:4" x14ac:dyDescent="0.25">
      <c r="A29">
        <v>85</v>
      </c>
      <c r="B29" s="13">
        <v>0.1337609507752523</v>
      </c>
      <c r="C29">
        <f t="shared" si="0"/>
        <v>-2.0116999999999998</v>
      </c>
      <c r="D29">
        <f t="shared" si="1"/>
        <v>-0.87370000000000003</v>
      </c>
    </row>
    <row r="30" spans="1:4" x14ac:dyDescent="0.25">
      <c r="A30">
        <v>90</v>
      </c>
      <c r="B30" s="13">
        <v>0.21260255399858896</v>
      </c>
      <c r="C30">
        <f t="shared" si="0"/>
        <v>-1.5483</v>
      </c>
      <c r="D30">
        <f t="shared" si="1"/>
        <v>-0.6724</v>
      </c>
    </row>
    <row r="31" spans="1:4" x14ac:dyDescent="0.25">
      <c r="A31">
        <v>95</v>
      </c>
      <c r="B31" s="13">
        <v>0.29136530699556418</v>
      </c>
      <c r="C31">
        <f t="shared" si="0"/>
        <v>-1.2332000000000001</v>
      </c>
      <c r="D31">
        <f t="shared" si="1"/>
        <v>-0.53559999999999997</v>
      </c>
    </row>
    <row r="34" spans="1:4" x14ac:dyDescent="0.25">
      <c r="A34" t="s">
        <v>21</v>
      </c>
      <c r="C34" s="31">
        <f>SLOPE(C24:C31,$A24:$A31)</f>
        <v>7.3295572916666663E-2</v>
      </c>
      <c r="D34" s="31">
        <f>SLOPE(D24:D31,$A24:$A31)</f>
        <v>3.1831979166666663E-2</v>
      </c>
    </row>
    <row r="35" spans="1:4" x14ac:dyDescent="0.25">
      <c r="A35" t="s">
        <v>22</v>
      </c>
      <c r="C35" s="31">
        <f>INTERCEPT(C24:C31,$A24:$A31)</f>
        <v>-8.2888386718750002</v>
      </c>
      <c r="D35" s="31">
        <f>INTERCEPT(D24:D31,$A24:$A31)</f>
        <v>-3.5998085937499997</v>
      </c>
    </row>
    <row r="36" spans="1:4" x14ac:dyDescent="0.25">
      <c r="A36" t="s">
        <v>54</v>
      </c>
      <c r="C36" s="31">
        <f>RSQ(C24:C31,$A24:$A31)</f>
        <v>0.99351623792030108</v>
      </c>
      <c r="D36" s="31">
        <f>RSQ(D24:D31,$A24:$A31)</f>
        <v>0.99351966976028105</v>
      </c>
    </row>
    <row r="37" spans="1:4" x14ac:dyDescent="0.25">
      <c r="A37" t="s">
        <v>56</v>
      </c>
      <c r="C37" s="31">
        <f>CORREL(C24:C31,$A24:$A31)</f>
        <v>0.99675284695871391</v>
      </c>
      <c r="D37" s="31">
        <f>CORREL(D24:D31,$A24:$A31)</f>
        <v>0.99675456846722366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0"/>
  <sheetViews>
    <sheetView zoomScale="85" zoomScaleNormal="85" workbookViewId="0">
      <selection activeCell="P17" sqref="P17"/>
    </sheetView>
  </sheetViews>
  <sheetFormatPr baseColWidth="10" defaultRowHeight="15" x14ac:dyDescent="0.25"/>
  <cols>
    <col min="1" max="1" width="16.7109375" bestFit="1" customWidth="1"/>
    <col min="2" max="2" width="12" bestFit="1" customWidth="1"/>
    <col min="3" max="3" width="12.5703125" bestFit="1" customWidth="1"/>
    <col min="4" max="5" width="8.28515625" bestFit="1" customWidth="1"/>
    <col min="6" max="6" width="19" bestFit="1" customWidth="1"/>
  </cols>
  <sheetData>
    <row r="3" spans="1:5" x14ac:dyDescent="0.25">
      <c r="B3" t="s">
        <v>13</v>
      </c>
      <c r="C3" t="s">
        <v>12</v>
      </c>
    </row>
    <row r="4" spans="1:5" x14ac:dyDescent="0.25">
      <c r="A4" t="s">
        <v>11</v>
      </c>
      <c r="B4" t="s">
        <v>19</v>
      </c>
      <c r="C4" t="s">
        <v>18</v>
      </c>
      <c r="D4" s="14">
        <v>4.0879629629629634E-2</v>
      </c>
      <c r="E4" s="14">
        <v>8.5856481481481492E-2</v>
      </c>
    </row>
    <row r="5" spans="1:5" x14ac:dyDescent="0.25">
      <c r="A5" t="s">
        <v>10</v>
      </c>
      <c r="B5" t="s">
        <v>17</v>
      </c>
      <c r="C5" t="s">
        <v>16</v>
      </c>
      <c r="D5" s="14">
        <v>4.0914351851851848E-2</v>
      </c>
      <c r="E5" s="14">
        <v>8.6412037037037037E-2</v>
      </c>
    </row>
    <row r="6" spans="1:5" x14ac:dyDescent="0.25">
      <c r="A6" t="s">
        <v>9</v>
      </c>
      <c r="B6" t="s">
        <v>15</v>
      </c>
      <c r="C6" t="s">
        <v>14</v>
      </c>
      <c r="D6" s="14">
        <v>4.1608796296296297E-2</v>
      </c>
      <c r="E6" s="14">
        <v>8.6747685185185178E-2</v>
      </c>
    </row>
    <row r="8" spans="1:5" x14ac:dyDescent="0.25">
      <c r="B8" t="s">
        <v>13</v>
      </c>
      <c r="C8" t="s">
        <v>12</v>
      </c>
    </row>
    <row r="9" spans="1:5" x14ac:dyDescent="0.25">
      <c r="A9" t="s">
        <v>11</v>
      </c>
      <c r="B9">
        <f>58*60+52</f>
        <v>3532</v>
      </c>
      <c r="C9">
        <f>2*60*60+3*60+38</f>
        <v>7418</v>
      </c>
    </row>
    <row r="10" spans="1:5" x14ac:dyDescent="0.25">
      <c r="A10" t="s">
        <v>10</v>
      </c>
      <c r="B10">
        <f>58*60+55</f>
        <v>3535</v>
      </c>
      <c r="C10">
        <f>2*60*60+4*60+26</f>
        <v>7466</v>
      </c>
    </row>
    <row r="11" spans="1:5" x14ac:dyDescent="0.25">
      <c r="A11" t="s">
        <v>9</v>
      </c>
      <c r="B11">
        <f>59*60+17</f>
        <v>3557</v>
      </c>
      <c r="C11">
        <f>2*60*60+4*60+55</f>
        <v>7495</v>
      </c>
    </row>
    <row r="13" spans="1:5" x14ac:dyDescent="0.25">
      <c r="B13" s="14">
        <v>4.0879629629629634E-2</v>
      </c>
      <c r="C13" s="14">
        <v>8.5856481481481492E-2</v>
      </c>
    </row>
    <row r="14" spans="1:5" x14ac:dyDescent="0.25">
      <c r="B14" s="14">
        <v>4.0914351851851848E-2</v>
      </c>
      <c r="C14" s="14">
        <v>8.6412037037037037E-2</v>
      </c>
    </row>
    <row r="15" spans="1:5" x14ac:dyDescent="0.25">
      <c r="B15" s="14">
        <v>4.1608796296296297E-2</v>
      </c>
      <c r="C15" s="14">
        <v>8.6747685185185178E-2</v>
      </c>
    </row>
    <row r="18" spans="1:16" x14ac:dyDescent="0.25">
      <c r="A18" t="s">
        <v>20</v>
      </c>
    </row>
    <row r="19" spans="1:16" x14ac:dyDescent="0.25">
      <c r="A19" s="15" t="s">
        <v>21</v>
      </c>
      <c r="B19">
        <f>C9-C10</f>
        <v>-48</v>
      </c>
    </row>
    <row r="20" spans="1:16" x14ac:dyDescent="0.25">
      <c r="B20">
        <f>B9-B10</f>
        <v>-3</v>
      </c>
    </row>
    <row r="21" spans="1:16" x14ac:dyDescent="0.25">
      <c r="B21" s="15">
        <f>B19/B20</f>
        <v>16</v>
      </c>
    </row>
    <row r="22" spans="1:16" x14ac:dyDescent="0.25">
      <c r="A22" t="s">
        <v>22</v>
      </c>
      <c r="B22">
        <f>C9-B21*B9</f>
        <v>-49094</v>
      </c>
    </row>
    <row r="23" spans="1:16" x14ac:dyDescent="0.25">
      <c r="B23">
        <f>B22/B9</f>
        <v>-13.899773499433749</v>
      </c>
    </row>
    <row r="24" spans="1:16" x14ac:dyDescent="0.25">
      <c r="B24">
        <f>B21+B23</f>
        <v>2.1002265005662508</v>
      </c>
    </row>
    <row r="26" spans="1:16" ht="15.75" thickBot="1" x14ac:dyDescent="0.3"/>
    <row r="27" spans="1:16" ht="18" thickBot="1" x14ac:dyDescent="0.3">
      <c r="A27" t="s">
        <v>36</v>
      </c>
      <c r="B27" s="17" t="s">
        <v>30</v>
      </c>
      <c r="C27" s="17" t="s">
        <v>31</v>
      </c>
      <c r="D27" s="17" t="s">
        <v>32</v>
      </c>
      <c r="E27" s="17" t="s">
        <v>33</v>
      </c>
      <c r="F27" s="17" t="s">
        <v>34</v>
      </c>
      <c r="G27" s="17" t="s">
        <v>35</v>
      </c>
      <c r="I27" s="21" t="s">
        <v>36</v>
      </c>
      <c r="J27" s="22" t="s">
        <v>30</v>
      </c>
      <c r="K27" s="22" t="s">
        <v>31</v>
      </c>
      <c r="L27" s="22" t="s">
        <v>32</v>
      </c>
      <c r="M27" s="22" t="s">
        <v>33</v>
      </c>
      <c r="N27" s="22" t="s">
        <v>34</v>
      </c>
      <c r="O27" s="22" t="s">
        <v>41</v>
      </c>
      <c r="P27" s="22" t="s">
        <v>52</v>
      </c>
    </row>
    <row r="28" spans="1:16" x14ac:dyDescent="0.25">
      <c r="A28" t="s">
        <v>11</v>
      </c>
      <c r="B28">
        <f>58*60+52</f>
        <v>3532</v>
      </c>
      <c r="C28">
        <f>2*60*60+3*60+38</f>
        <v>7418</v>
      </c>
      <c r="D28">
        <f t="shared" ref="D28:E30" si="0">B28-B$32</f>
        <v>-9.3000000000001819</v>
      </c>
      <c r="E28">
        <f t="shared" si="0"/>
        <v>-41.699999999999818</v>
      </c>
      <c r="F28" s="20">
        <f>D28*E28</f>
        <v>387.81000000000591</v>
      </c>
      <c r="G28">
        <f>D28^2</f>
        <v>86.490000000003377</v>
      </c>
      <c r="I28" s="23" t="s">
        <v>11</v>
      </c>
      <c r="J28" s="24" t="s">
        <v>42</v>
      </c>
      <c r="K28" s="24" t="s">
        <v>43</v>
      </c>
      <c r="L28" s="24">
        <v>-9.3000000000000007</v>
      </c>
      <c r="M28" s="24">
        <v>-41.7</v>
      </c>
      <c r="N28" s="24">
        <v>387.81</v>
      </c>
      <c r="O28" s="24">
        <v>86.49</v>
      </c>
      <c r="P28" s="24">
        <f>E28^2</f>
        <v>1738.8899999999849</v>
      </c>
    </row>
    <row r="29" spans="1:16" x14ac:dyDescent="0.25">
      <c r="A29" t="s">
        <v>10</v>
      </c>
      <c r="B29">
        <f>58*60+55</f>
        <v>3535</v>
      </c>
      <c r="C29">
        <f>2*60*60+4*60+26</f>
        <v>7466</v>
      </c>
      <c r="D29">
        <f t="shared" si="0"/>
        <v>-6.3000000000001819</v>
      </c>
      <c r="E29">
        <f t="shared" si="0"/>
        <v>6.3000000000001819</v>
      </c>
      <c r="F29">
        <f t="shared" ref="F29:F30" si="1">D29*E29</f>
        <v>-39.690000000002293</v>
      </c>
      <c r="G29">
        <f t="shared" ref="G29:G30" si="2">D29^2</f>
        <v>39.690000000002293</v>
      </c>
      <c r="I29" s="23" t="s">
        <v>10</v>
      </c>
      <c r="J29" s="24" t="s">
        <v>44</v>
      </c>
      <c r="K29" s="24" t="s">
        <v>45</v>
      </c>
      <c r="L29" s="24">
        <v>-6.3</v>
      </c>
      <c r="M29" s="24">
        <v>6.3</v>
      </c>
      <c r="N29" s="24">
        <v>-39.69</v>
      </c>
      <c r="O29" s="24">
        <v>39.69</v>
      </c>
      <c r="P29" s="24">
        <f t="shared" ref="P29:P30" si="3">E29^2</f>
        <v>39.690000000002293</v>
      </c>
    </row>
    <row r="30" spans="1:16" ht="15.75" thickBot="1" x14ac:dyDescent="0.3">
      <c r="A30" t="s">
        <v>9</v>
      </c>
      <c r="B30">
        <f>59*60+17</f>
        <v>3557</v>
      </c>
      <c r="C30">
        <f>2*60*60+4*60+55</f>
        <v>7495</v>
      </c>
      <c r="D30">
        <f t="shared" si="0"/>
        <v>15.699999999999818</v>
      </c>
      <c r="E30">
        <f t="shared" si="0"/>
        <v>35.300000000000182</v>
      </c>
      <c r="F30">
        <f t="shared" si="1"/>
        <v>554.2099999999964</v>
      </c>
      <c r="G30">
        <f t="shared" si="2"/>
        <v>246.4899999999943</v>
      </c>
      <c r="I30" s="25" t="s">
        <v>9</v>
      </c>
      <c r="J30" s="26" t="s">
        <v>46</v>
      </c>
      <c r="K30" s="26" t="s">
        <v>47</v>
      </c>
      <c r="L30" s="26">
        <v>15.7</v>
      </c>
      <c r="M30" s="26">
        <v>35.299999999999997</v>
      </c>
      <c r="N30" s="26">
        <v>554.21</v>
      </c>
      <c r="O30" s="26">
        <v>246.49</v>
      </c>
      <c r="P30" s="26">
        <f t="shared" si="3"/>
        <v>1246.0900000000129</v>
      </c>
    </row>
    <row r="31" spans="1:16" x14ac:dyDescent="0.25">
      <c r="A31" t="s">
        <v>39</v>
      </c>
      <c r="B31">
        <f>SUM(B28:B30)</f>
        <v>10624</v>
      </c>
      <c r="C31">
        <f t="shared" ref="C31:G31" si="4">SUM(C28:C30)</f>
        <v>22379</v>
      </c>
      <c r="F31">
        <f t="shared" si="4"/>
        <v>902.33</v>
      </c>
      <c r="G31">
        <f t="shared" si="4"/>
        <v>372.66999999999996</v>
      </c>
      <c r="I31" s="23" t="s">
        <v>39</v>
      </c>
      <c r="J31" s="24" t="s">
        <v>48</v>
      </c>
      <c r="K31" s="24" t="s">
        <v>49</v>
      </c>
      <c r="L31" s="27"/>
      <c r="M31" s="27"/>
      <c r="N31" s="24">
        <v>902.33</v>
      </c>
      <c r="O31" s="24">
        <v>372.67</v>
      </c>
      <c r="P31" s="24">
        <f t="shared" ref="P31" si="5">SUM(P28:P30)</f>
        <v>3024.67</v>
      </c>
    </row>
    <row r="32" spans="1:16" ht="15.75" thickBot="1" x14ac:dyDescent="0.3">
      <c r="A32" t="s">
        <v>40</v>
      </c>
      <c r="B32">
        <f>ROUND(AVERAGE(B28:B30),1)</f>
        <v>3541.3</v>
      </c>
      <c r="C32">
        <f>ROUND(AVERAGE(C28:C30),1)</f>
        <v>7459.7</v>
      </c>
      <c r="F32">
        <f>ROUND(AVERAGE(F28:F30),3)</f>
        <v>300.77699999999999</v>
      </c>
      <c r="G32">
        <f>ROUND(AVERAGE(G28:G30),3)</f>
        <v>124.223</v>
      </c>
      <c r="I32" s="25" t="s">
        <v>40</v>
      </c>
      <c r="J32" s="26" t="s">
        <v>50</v>
      </c>
      <c r="K32" s="26" t="s">
        <v>51</v>
      </c>
      <c r="L32" s="28"/>
      <c r="M32" s="28"/>
      <c r="N32" s="26">
        <v>300.77699999999999</v>
      </c>
      <c r="O32" s="26">
        <v>124.223</v>
      </c>
      <c r="P32" s="26">
        <f>ROUND(AVERAGE(P28:P30),3)</f>
        <v>1008.223</v>
      </c>
    </row>
    <row r="34" spans="1:3" x14ac:dyDescent="0.25">
      <c r="A34" t="s">
        <v>37</v>
      </c>
      <c r="B34">
        <f>ROUND(F32,3)</f>
        <v>300.77699999999999</v>
      </c>
    </row>
    <row r="35" spans="1:3" x14ac:dyDescent="0.25">
      <c r="A35" t="s">
        <v>38</v>
      </c>
      <c r="B35">
        <f>ROUND(G32,3)</f>
        <v>124.223</v>
      </c>
    </row>
    <row r="36" spans="1:3" x14ac:dyDescent="0.25">
      <c r="A36" t="s">
        <v>53</v>
      </c>
      <c r="B36">
        <f>ROUND(P32,3)</f>
        <v>1008.223</v>
      </c>
    </row>
    <row r="37" spans="1:3" x14ac:dyDescent="0.25">
      <c r="A37" t="s">
        <v>21</v>
      </c>
      <c r="B37">
        <f>ROUND(B34/B35,2)</f>
        <v>2.42</v>
      </c>
    </row>
    <row r="38" spans="1:3" x14ac:dyDescent="0.25">
      <c r="A38" t="s">
        <v>22</v>
      </c>
      <c r="B38">
        <f>ROUND(C32-B37*B32,0)</f>
        <v>-1110</v>
      </c>
    </row>
    <row r="39" spans="1:3" ht="17.25" x14ac:dyDescent="0.25">
      <c r="A39" t="s">
        <v>55</v>
      </c>
      <c r="B39">
        <f>(B34^2)/(B35*B36)</f>
        <v>0.72232165114837199</v>
      </c>
      <c r="C39">
        <f>RSQ(C28:C30,B28:B30)</f>
        <v>0.72233046668950962</v>
      </c>
    </row>
    <row r="40" spans="1:3" x14ac:dyDescent="0.25">
      <c r="A40" t="s">
        <v>56</v>
      </c>
      <c r="B40">
        <f>B34/SQRT(B35*B36)</f>
        <v>0.84989508243569223</v>
      </c>
      <c r="C40">
        <f>CORREL(C28:C30,B28:B30)</f>
        <v>0.84990026867245394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8"/>
  <sheetViews>
    <sheetView workbookViewId="0">
      <selection activeCell="N16" sqref="N16"/>
    </sheetView>
  </sheetViews>
  <sheetFormatPr baseColWidth="10" defaultRowHeight="15" x14ac:dyDescent="0.25"/>
  <sheetData>
    <row r="2" spans="1:5" x14ac:dyDescent="0.25">
      <c r="A2" s="35">
        <v>2001</v>
      </c>
      <c r="B2" s="35"/>
      <c r="C2" s="35"/>
      <c r="D2" s="35"/>
      <c r="E2" s="35"/>
    </row>
    <row r="3" spans="1:5" x14ac:dyDescent="0.25">
      <c r="A3" s="16" t="s">
        <v>5</v>
      </c>
      <c r="B3" s="17" t="s">
        <v>23</v>
      </c>
      <c r="C3" s="17" t="s">
        <v>24</v>
      </c>
      <c r="D3" s="17" t="s">
        <v>25</v>
      </c>
      <c r="E3" s="17" t="s">
        <v>26</v>
      </c>
    </row>
    <row r="4" spans="1:5" x14ac:dyDescent="0.25">
      <c r="A4" s="16">
        <v>0</v>
      </c>
      <c r="B4" s="18">
        <v>100000</v>
      </c>
      <c r="C4" s="18">
        <v>444.00000000000006</v>
      </c>
      <c r="D4" s="19">
        <v>4.4400000000000004E-3</v>
      </c>
      <c r="E4" s="20">
        <v>75.670162542577415</v>
      </c>
    </row>
    <row r="5" spans="1:5" x14ac:dyDescent="0.25">
      <c r="A5" s="16">
        <v>10</v>
      </c>
      <c r="B5" s="18">
        <v>99387.774013894785</v>
      </c>
      <c r="C5" s="18">
        <v>11.330206237584006</v>
      </c>
      <c r="D5" s="19">
        <v>1.1400000000000001E-4</v>
      </c>
      <c r="E5" s="20">
        <v>66.12632446788227</v>
      </c>
    </row>
    <row r="6" spans="1:5" x14ac:dyDescent="0.25">
      <c r="A6" s="16">
        <v>20</v>
      </c>
      <c r="B6" s="18">
        <v>98982.284728400526</v>
      </c>
      <c r="C6" s="18">
        <v>91.558613373770484</v>
      </c>
      <c r="D6" s="19">
        <v>9.2500000000000004E-4</v>
      </c>
      <c r="E6" s="20">
        <v>56.369086101374762</v>
      </c>
    </row>
    <row r="7" spans="1:5" x14ac:dyDescent="0.25">
      <c r="A7" s="16">
        <v>30</v>
      </c>
      <c r="B7" s="18">
        <v>97932.963268844498</v>
      </c>
      <c r="C7" s="18">
        <v>120.55547778394759</v>
      </c>
      <c r="D7" s="19">
        <v>1.2310000000000001E-3</v>
      </c>
      <c r="E7" s="20">
        <v>46.918348761689991</v>
      </c>
    </row>
    <row r="8" spans="1:5" x14ac:dyDescent="0.25">
      <c r="A8" s="16">
        <v>40</v>
      </c>
      <c r="B8" s="18">
        <v>96385.233193727923</v>
      </c>
      <c r="C8" s="18">
        <v>218.02339748421258</v>
      </c>
      <c r="D8" s="19">
        <v>2.2620000000000001E-3</v>
      </c>
      <c r="E8" s="20">
        <v>37.582750773268046</v>
      </c>
    </row>
    <row r="9" spans="1:5" x14ac:dyDescent="0.25">
      <c r="A9" s="16">
        <v>50</v>
      </c>
      <c r="B9" s="18">
        <v>93007.103886315468</v>
      </c>
      <c r="C9" s="18">
        <v>494.8907997790846</v>
      </c>
      <c r="D9" s="19">
        <v>5.3210000000000002E-3</v>
      </c>
      <c r="E9" s="20">
        <v>28.742648781584929</v>
      </c>
    </row>
    <row r="10" spans="1:5" x14ac:dyDescent="0.25">
      <c r="A10" s="16">
        <v>60</v>
      </c>
      <c r="B10" s="18">
        <v>86233.03190369191</v>
      </c>
      <c r="C10" s="18">
        <v>981.4181360959177</v>
      </c>
      <c r="D10" s="19">
        <v>1.1381E-2</v>
      </c>
      <c r="E10" s="20">
        <v>20.562788087411445</v>
      </c>
    </row>
    <row r="11" spans="1:5" x14ac:dyDescent="0.25">
      <c r="A11" s="16">
        <v>70</v>
      </c>
      <c r="B11" s="18">
        <v>72196.115350075532</v>
      </c>
      <c r="C11" s="18">
        <v>1962.6513957918035</v>
      </c>
      <c r="D11" s="19">
        <v>2.7185000000000001E-2</v>
      </c>
      <c r="E11" s="20">
        <v>13.480964925372053</v>
      </c>
    </row>
    <row r="12" spans="1:5" x14ac:dyDescent="0.25">
      <c r="A12" s="16">
        <v>80</v>
      </c>
      <c r="B12" s="18">
        <v>47629.328294826839</v>
      </c>
      <c r="C12" s="18">
        <v>3140.6302784325867</v>
      </c>
      <c r="D12" s="19">
        <v>6.5938999999999998E-2</v>
      </c>
      <c r="E12" s="20">
        <v>7.6540665493792019</v>
      </c>
    </row>
    <row r="13" spans="1:5" x14ac:dyDescent="0.25">
      <c r="A13" s="16">
        <v>90</v>
      </c>
      <c r="B13" s="18">
        <v>14552.284008005388</v>
      </c>
      <c r="C13" s="18">
        <v>2689.6986531996358</v>
      </c>
      <c r="D13" s="19">
        <v>0.18482999999999999</v>
      </c>
      <c r="E13" s="20">
        <v>3.728616724778143</v>
      </c>
    </row>
    <row r="14" spans="1:5" x14ac:dyDescent="0.25">
      <c r="A14" s="16">
        <v>100</v>
      </c>
      <c r="B14" s="18">
        <v>540.29637080658631</v>
      </c>
      <c r="C14" s="18">
        <v>195.73370654847284</v>
      </c>
      <c r="D14" s="19">
        <v>0.36227100000000001</v>
      </c>
      <c r="E14" s="20">
        <v>1.8920425337507263</v>
      </c>
    </row>
    <row r="15" spans="1:5" x14ac:dyDescent="0.25">
      <c r="A15" s="16">
        <v>101</v>
      </c>
      <c r="B15" s="18">
        <v>344.5626642581135</v>
      </c>
      <c r="C15" s="18">
        <v>123.16564715238397</v>
      </c>
      <c r="D15" s="19">
        <v>0.35745500000000002</v>
      </c>
      <c r="E15" s="20">
        <v>1.6828120310519452</v>
      </c>
    </row>
    <row r="16" spans="1:5" x14ac:dyDescent="0.25">
      <c r="A16" s="16">
        <v>102</v>
      </c>
      <c r="B16" s="18">
        <v>221.39701710572953</v>
      </c>
      <c r="C16" s="18">
        <v>99.954332709740825</v>
      </c>
      <c r="D16" s="19">
        <v>0.45147100000000001</v>
      </c>
      <c r="E16" s="20">
        <v>1.34082364823</v>
      </c>
    </row>
    <row r="17" spans="1:5" x14ac:dyDescent="0.25">
      <c r="A17" s="16">
        <v>103</v>
      </c>
      <c r="B17" s="18">
        <v>121.44268439598871</v>
      </c>
      <c r="C17" s="18">
        <v>56.729521161898205</v>
      </c>
      <c r="D17" s="19">
        <v>0.46712999999999999</v>
      </c>
      <c r="E17" s="20">
        <v>1.03287</v>
      </c>
    </row>
    <row r="18" spans="1:5" x14ac:dyDescent="0.25">
      <c r="A18" s="16">
        <v>104</v>
      </c>
      <c r="B18" s="18">
        <v>64.713163234090501</v>
      </c>
      <c r="C18" s="18">
        <v>27.374703458632027</v>
      </c>
      <c r="D18" s="19">
        <v>0.423016</v>
      </c>
      <c r="E18" s="20">
        <v>0.5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abSelected="1" zoomScale="70" zoomScaleNormal="70" workbookViewId="0">
      <selection activeCell="K34" sqref="K34"/>
    </sheetView>
  </sheetViews>
  <sheetFormatPr baseColWidth="10" defaultRowHeight="15" x14ac:dyDescent="0.25"/>
  <sheetData>
    <row r="1" spans="1:2" x14ac:dyDescent="0.25">
      <c r="A1" t="s">
        <v>28</v>
      </c>
    </row>
    <row r="2" spans="1:2" x14ac:dyDescent="0.25">
      <c r="A2" t="s">
        <v>1</v>
      </c>
      <c r="B2" t="s">
        <v>27</v>
      </c>
    </row>
    <row r="3" spans="1:2" x14ac:dyDescent="0.25">
      <c r="A3">
        <v>1960</v>
      </c>
      <c r="B3">
        <v>105</v>
      </c>
    </row>
    <row r="4" spans="1:2" x14ac:dyDescent="0.25">
      <c r="A4">
        <v>1970</v>
      </c>
      <c r="B4">
        <v>105</v>
      </c>
    </row>
    <row r="5" spans="1:2" x14ac:dyDescent="0.25">
      <c r="A5">
        <v>1980</v>
      </c>
      <c r="B5">
        <v>105</v>
      </c>
    </row>
    <row r="6" spans="1:2" x14ac:dyDescent="0.25">
      <c r="A6">
        <v>1990</v>
      </c>
      <c r="B6">
        <v>105</v>
      </c>
    </row>
    <row r="7" spans="1:2" x14ac:dyDescent="0.25">
      <c r="A7">
        <v>2000</v>
      </c>
      <c r="B7">
        <v>105</v>
      </c>
    </row>
    <row r="8" spans="1:2" x14ac:dyDescent="0.25">
      <c r="A8">
        <v>2010</v>
      </c>
      <c r="B8">
        <v>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Pop Israël</vt:lpstr>
      <vt:lpstr>salaire NBA</vt:lpstr>
      <vt:lpstr>fécondité G 47</vt:lpstr>
      <vt:lpstr>fécondité G 47 (2)</vt:lpstr>
      <vt:lpstr>mortalité 2004</vt:lpstr>
      <vt:lpstr>marathoniens</vt:lpstr>
      <vt:lpstr>ex en 2001</vt:lpstr>
      <vt:lpstr>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Léger Jean-François</dc:creator>
  <cp:lastModifiedBy>User</cp:lastModifiedBy>
  <dcterms:created xsi:type="dcterms:W3CDTF">2012-03-06T17:58:37Z</dcterms:created>
  <dcterms:modified xsi:type="dcterms:W3CDTF">2020-03-16T07:50:26Z</dcterms:modified>
</cp:coreProperties>
</file>