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deev\Documents\At_use\2-Cours\1 - Demographie\3-Models\2-Exercices TD\TD-5 Mortality\"/>
    </mc:Choice>
  </mc:AlternateContent>
  <xr:revisionPtr revIDLastSave="0" documentId="13_ncr:1_{DBD9A684-9917-4BAD-B0DC-96C05027CFAC}" xr6:coauthVersionLast="47" xr6:coauthVersionMax="47" xr10:uidLastSave="{00000000-0000-0000-0000-000000000000}"/>
  <bookViews>
    <workbookView xWindow="-110" yWindow="-110" windowWidth="29020" windowHeight="18960" xr2:uid="{00000000-000D-0000-FFFF-FFFF00000000}"/>
  </bookViews>
  <sheets>
    <sheet name="énoncés" sheetId="1" r:id="rId1"/>
    <sheet name="B_P" sheetId="11" r:id="rId2"/>
    <sheet name="TMI" sheetId="3" r:id="rId3"/>
    <sheet name="Ledermann1" sheetId="5" r:id="rId4"/>
    <sheet name="Ledermann2" sheetId="7" r:id="rId5"/>
    <sheet name="Brass" sheetId="6" r:id="rId6"/>
    <sheet name="Japon" sheetId="10" r:id="rId7"/>
  </sheets>
  <definedNames>
    <definedName name="top" localSheetId="1">B_P!$A$24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6" l="1"/>
  <c r="G4" i="6" s="1"/>
  <c r="D5" i="6"/>
  <c r="D4" i="6"/>
  <c r="B30" i="11" l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C21" i="11"/>
  <c r="C20" i="11"/>
  <c r="C19" i="11"/>
  <c r="C18" i="11"/>
  <c r="C17" i="11"/>
  <c r="C16" i="11"/>
  <c r="E15" i="11"/>
  <c r="C15" i="11"/>
  <c r="E14" i="11"/>
  <c r="C14" i="11"/>
  <c r="E13" i="11"/>
  <c r="C13" i="11"/>
  <c r="E12" i="11"/>
  <c r="C12" i="11"/>
  <c r="E11" i="11"/>
  <c r="C11" i="11"/>
  <c r="E10" i="11"/>
  <c r="C10" i="11"/>
  <c r="E9" i="11"/>
  <c r="C9" i="11"/>
  <c r="E8" i="11"/>
  <c r="C8" i="11"/>
  <c r="E7" i="11"/>
  <c r="C7" i="11"/>
  <c r="E6" i="11"/>
  <c r="C6" i="11"/>
  <c r="E5" i="11"/>
  <c r="C5" i="11"/>
  <c r="F4" i="11"/>
  <c r="E4" i="11"/>
  <c r="C4" i="11"/>
  <c r="C3" i="11"/>
  <c r="G4" i="11" l="1"/>
  <c r="G5" i="11" s="1"/>
  <c r="F5" i="1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G6" i="11" l="1"/>
  <c r="G7" i="11" s="1"/>
  <c r="G8" i="11" s="1"/>
  <c r="G9" i="11" s="1"/>
  <c r="G10" i="11" s="1"/>
  <c r="G11" i="11" s="1"/>
  <c r="G12" i="11" s="1"/>
  <c r="G13" i="11" s="1"/>
  <c r="G14" i="11" s="1"/>
  <c r="G15" i="11" s="1"/>
  <c r="F18" i="11"/>
  <c r="F17" i="11"/>
  <c r="F20" i="11" s="1"/>
  <c r="G17" i="11" l="1"/>
  <c r="G20" i="11" s="1"/>
  <c r="G18" i="11"/>
  <c r="F21" i="11"/>
  <c r="F25" i="11" s="1"/>
  <c r="F22" i="11"/>
  <c r="F26" i="11" s="1"/>
  <c r="F24" i="11"/>
  <c r="K4" i="10"/>
  <c r="L4" i="10" s="1"/>
  <c r="K5" i="10"/>
  <c r="L5" i="10" s="1"/>
  <c r="K6" i="10"/>
  <c r="L6" i="10" s="1"/>
  <c r="K7" i="10"/>
  <c r="L7" i="10" s="1"/>
  <c r="K8" i="10"/>
  <c r="L8" i="10" s="1"/>
  <c r="K9" i="10"/>
  <c r="L9" i="10" s="1"/>
  <c r="K10" i="10"/>
  <c r="L10" i="10" s="1"/>
  <c r="K11" i="10"/>
  <c r="L11" i="10" s="1"/>
  <c r="K12" i="10"/>
  <c r="L12" i="10" s="1"/>
  <c r="K13" i="10"/>
  <c r="L13" i="10" s="1"/>
  <c r="K14" i="10"/>
  <c r="L14" i="10" s="1"/>
  <c r="K15" i="10"/>
  <c r="L15" i="10" s="1"/>
  <c r="K16" i="10"/>
  <c r="L16" i="10" s="1"/>
  <c r="K17" i="10"/>
  <c r="L17" i="10" s="1"/>
  <c r="K18" i="10"/>
  <c r="L18" i="10" s="1"/>
  <c r="K19" i="10"/>
  <c r="L19" i="10" s="1"/>
  <c r="K20" i="10"/>
  <c r="L20" i="10" s="1"/>
  <c r="K21" i="10"/>
  <c r="L21" i="10" s="1"/>
  <c r="K22" i="10"/>
  <c r="L22" i="10" s="1"/>
  <c r="K23" i="10"/>
  <c r="L23" i="10" s="1"/>
  <c r="K24" i="10"/>
  <c r="L24" i="10" s="1"/>
  <c r="K25" i="10"/>
  <c r="L25" i="10" s="1"/>
  <c r="K26" i="10"/>
  <c r="L26" i="10" s="1"/>
  <c r="K3" i="10"/>
  <c r="C4" i="6"/>
  <c r="C5" i="6"/>
  <c r="C6" i="6"/>
  <c r="D6" i="6" s="1"/>
  <c r="C7" i="6"/>
  <c r="D7" i="6" s="1"/>
  <c r="C8" i="6"/>
  <c r="D8" i="6" s="1"/>
  <c r="C9" i="6"/>
  <c r="D9" i="6" s="1"/>
  <c r="C10" i="6"/>
  <c r="D10" i="6" s="1"/>
  <c r="C11" i="6"/>
  <c r="D11" i="6" s="1"/>
  <c r="C12" i="6"/>
  <c r="D12" i="6" s="1"/>
  <c r="C13" i="6"/>
  <c r="D13" i="6" s="1"/>
  <c r="C14" i="6"/>
  <c r="D14" i="6" s="1"/>
  <c r="C15" i="6"/>
  <c r="D15" i="6" s="1"/>
  <c r="C16" i="6"/>
  <c r="D16" i="6" s="1"/>
  <c r="C17" i="6"/>
  <c r="D17" i="6" s="1"/>
  <c r="C18" i="6"/>
  <c r="D18" i="6" s="1"/>
  <c r="C19" i="6"/>
  <c r="D19" i="6" s="1"/>
  <c r="C20" i="6"/>
  <c r="D20" i="6" s="1"/>
  <c r="C21" i="6"/>
  <c r="D21" i="6" s="1"/>
  <c r="C22" i="6"/>
  <c r="D22" i="6" s="1"/>
  <c r="C23" i="6"/>
  <c r="D23" i="6" s="1"/>
  <c r="C24" i="6"/>
  <c r="D24" i="6" s="1"/>
  <c r="C3" i="6"/>
  <c r="G22" i="11" l="1"/>
  <c r="G21" i="11"/>
  <c r="F27" i="6"/>
  <c r="F26" i="6"/>
  <c r="E27" i="6"/>
  <c r="G5" i="6" l="1"/>
  <c r="H5" i="6" s="1"/>
  <c r="G21" i="6"/>
  <c r="H21" i="6" s="1"/>
  <c r="G6" i="6"/>
  <c r="H6" i="6" s="1"/>
  <c r="G10" i="6"/>
  <c r="H10" i="6" s="1"/>
  <c r="G14" i="6"/>
  <c r="H14" i="6" s="1"/>
  <c r="G18" i="6"/>
  <c r="H18" i="6" s="1"/>
  <c r="G12" i="6"/>
  <c r="H12" i="6" s="1"/>
  <c r="G20" i="6"/>
  <c r="H20" i="6" s="1"/>
  <c r="G17" i="6"/>
  <c r="H17" i="6" s="1"/>
  <c r="G7" i="6"/>
  <c r="H7" i="6" s="1"/>
  <c r="G11" i="6"/>
  <c r="H11" i="6" s="1"/>
  <c r="G15" i="6"/>
  <c r="H15" i="6" s="1"/>
  <c r="G19" i="6"/>
  <c r="H19" i="6" s="1"/>
  <c r="G8" i="6"/>
  <c r="H8" i="6" s="1"/>
  <c r="G16" i="6"/>
  <c r="H16" i="6" s="1"/>
  <c r="G9" i="6"/>
  <c r="H9" i="6" s="1"/>
  <c r="G13" i="6"/>
  <c r="H13" i="6" s="1"/>
  <c r="I20" i="6"/>
  <c r="J20" i="6" s="1"/>
  <c r="I17" i="6"/>
  <c r="J17" i="6" s="1"/>
  <c r="I6" i="6"/>
  <c r="J6" i="6" s="1"/>
  <c r="I14" i="6"/>
  <c r="J14" i="6" s="1"/>
  <c r="I9" i="6"/>
  <c r="J9" i="6" s="1"/>
  <c r="I4" i="6"/>
  <c r="J4" i="6" s="1"/>
  <c r="I18" i="6"/>
  <c r="J18" i="6" s="1"/>
  <c r="I7" i="6"/>
  <c r="J7" i="6" s="1"/>
  <c r="I11" i="6"/>
  <c r="J11" i="6" s="1"/>
  <c r="I15" i="6"/>
  <c r="J15" i="6" s="1"/>
  <c r="I19" i="6"/>
  <c r="J19" i="6" s="1"/>
  <c r="I23" i="6"/>
  <c r="J23" i="6" s="1"/>
  <c r="I8" i="6"/>
  <c r="J8" i="6" s="1"/>
  <c r="I12" i="6"/>
  <c r="J12" i="6" s="1"/>
  <c r="I16" i="6"/>
  <c r="J16" i="6" s="1"/>
  <c r="I24" i="6"/>
  <c r="J24" i="6" s="1"/>
  <c r="I5" i="6"/>
  <c r="J5" i="6" s="1"/>
  <c r="I13" i="6"/>
  <c r="J13" i="6" s="1"/>
  <c r="I21" i="6"/>
  <c r="J21" i="6" s="1"/>
  <c r="I10" i="6"/>
  <c r="J10" i="6" s="1"/>
  <c r="I22" i="6"/>
  <c r="J22" i="6" s="1"/>
  <c r="H4" i="6"/>
  <c r="R124" i="7" l="1"/>
  <c r="R125" i="7" s="1"/>
  <c r="R126" i="7" s="1"/>
  <c r="R127" i="7" s="1"/>
  <c r="R128" i="7" s="1"/>
  <c r="R129" i="7" s="1"/>
  <c r="R130" i="7" s="1"/>
  <c r="R131" i="7" s="1"/>
  <c r="R132" i="7" s="1"/>
  <c r="R133" i="7" s="1"/>
  <c r="R134" i="7" s="1"/>
  <c r="R135" i="7" s="1"/>
  <c r="R136" i="7" s="1"/>
  <c r="R137" i="7" s="1"/>
  <c r="R138" i="7" s="1"/>
  <c r="L124" i="7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41" i="7"/>
  <c r="P44" i="7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L44" i="7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S40" i="7"/>
  <c r="R40" i="7"/>
  <c r="O40" i="7"/>
  <c r="N40" i="7"/>
  <c r="Q6" i="7"/>
  <c r="S6" i="7"/>
  <c r="Q8" i="7" s="1"/>
  <c r="L6" i="7"/>
  <c r="N6" i="7" s="1"/>
  <c r="L8" i="7" s="1"/>
  <c r="L18" i="7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O83" i="5" l="1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6" i="5"/>
  <c r="M67" i="5"/>
  <c r="L69" i="5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P44" i="5"/>
  <c r="P45" i="5" s="1"/>
  <c r="P46" i="5" s="1"/>
  <c r="P47" i="5" s="1"/>
  <c r="P48" i="5" s="1"/>
  <c r="P49" i="5" s="1"/>
  <c r="P50" i="5" s="1"/>
  <c r="P51" i="5" s="1"/>
  <c r="P52" i="5" s="1"/>
  <c r="P53" i="5" s="1"/>
  <c r="P54" i="5" s="1"/>
  <c r="P55" i="5" s="1"/>
  <c r="P56" i="5" s="1"/>
  <c r="P57" i="5" s="1"/>
  <c r="P58" i="5" s="1"/>
  <c r="L44" i="5" l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S40" i="5"/>
  <c r="R40" i="5"/>
  <c r="O40" i="5"/>
  <c r="N40" i="5"/>
  <c r="L18" i="5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M9" i="5" l="1"/>
  <c r="O9" i="5" s="1"/>
  <c r="M10" i="5" s="1"/>
  <c r="O44" i="5" l="1"/>
  <c r="O48" i="5"/>
  <c r="O52" i="5"/>
  <c r="O56" i="5"/>
  <c r="M42" i="5"/>
  <c r="M46" i="5"/>
  <c r="M50" i="5"/>
  <c r="M54" i="5"/>
  <c r="M58" i="5"/>
  <c r="M51" i="5"/>
  <c r="O42" i="5"/>
  <c r="O46" i="5"/>
  <c r="O50" i="5"/>
  <c r="O54" i="5"/>
  <c r="O58" i="5"/>
  <c r="M44" i="5"/>
  <c r="M48" i="5"/>
  <c r="M52" i="5"/>
  <c r="M56" i="5"/>
  <c r="O43" i="5"/>
  <c r="O47" i="5"/>
  <c r="O51" i="5"/>
  <c r="O55" i="5"/>
  <c r="O41" i="5"/>
  <c r="M45" i="5"/>
  <c r="M49" i="5"/>
  <c r="M53" i="5"/>
  <c r="M57" i="5"/>
  <c r="O45" i="5"/>
  <c r="O49" i="5"/>
  <c r="O53" i="5"/>
  <c r="O57" i="5"/>
  <c r="M43" i="5"/>
  <c r="M47" i="5"/>
  <c r="M55" i="5"/>
  <c r="S42" i="5"/>
  <c r="S46" i="5"/>
  <c r="S50" i="5"/>
  <c r="S54" i="5"/>
  <c r="S58" i="5"/>
  <c r="R44" i="5"/>
  <c r="R48" i="5"/>
  <c r="R52" i="5"/>
  <c r="R56" i="5"/>
  <c r="Q42" i="5"/>
  <c r="Q46" i="5"/>
  <c r="Q50" i="5"/>
  <c r="Q54" i="5"/>
  <c r="Q58" i="5"/>
  <c r="N44" i="5"/>
  <c r="N48" i="5"/>
  <c r="N52" i="5"/>
  <c r="N56" i="5"/>
  <c r="M41" i="5"/>
  <c r="S43" i="5"/>
  <c r="S47" i="5"/>
  <c r="S51" i="5"/>
  <c r="S55" i="5"/>
  <c r="S41" i="5"/>
  <c r="R45" i="5"/>
  <c r="R49" i="5"/>
  <c r="R53" i="5"/>
  <c r="R57" i="5"/>
  <c r="Q43" i="5"/>
  <c r="Q47" i="5"/>
  <c r="Q51" i="5"/>
  <c r="Q55" i="5"/>
  <c r="Q41" i="5"/>
  <c r="N45" i="5"/>
  <c r="N49" i="5"/>
  <c r="N53" i="5"/>
  <c r="N57" i="5"/>
  <c r="N41" i="5"/>
  <c r="S44" i="5"/>
  <c r="S48" i="5"/>
  <c r="S52" i="5"/>
  <c r="S56" i="5"/>
  <c r="R42" i="5"/>
  <c r="R46" i="5"/>
  <c r="R50" i="5"/>
  <c r="R54" i="5"/>
  <c r="R58" i="5"/>
  <c r="Q44" i="5"/>
  <c r="Q48" i="5"/>
  <c r="Q52" i="5"/>
  <c r="Q56" i="5"/>
  <c r="N42" i="5"/>
  <c r="N46" i="5"/>
  <c r="N50" i="5"/>
  <c r="N54" i="5"/>
  <c r="N58" i="5"/>
  <c r="S45" i="5"/>
  <c r="S49" i="5"/>
  <c r="S53" i="5"/>
  <c r="S57" i="5"/>
  <c r="R43" i="5"/>
  <c r="R47" i="5"/>
  <c r="R51" i="5"/>
  <c r="R55" i="5"/>
  <c r="R41" i="5"/>
  <c r="Q45" i="5"/>
  <c r="Q49" i="5"/>
  <c r="Q53" i="5"/>
  <c r="Q57" i="5"/>
  <c r="N43" i="5"/>
  <c r="N47" i="5"/>
  <c r="N51" i="5"/>
  <c r="N55" i="5"/>
  <c r="G3" i="3"/>
  <c r="C3" i="3"/>
  <c r="D3" i="3" s="1"/>
  <c r="B19" i="3"/>
  <c r="D19" i="3" s="1"/>
  <c r="H3" i="3" l="1"/>
  <c r="J3" i="3" s="1"/>
  <c r="C4" i="3"/>
  <c r="D4" i="3" s="1"/>
  <c r="E4" i="3" s="1"/>
  <c r="E3" i="3"/>
  <c r="F3" i="3" s="1"/>
  <c r="F4" i="3" s="1"/>
  <c r="C5" i="3"/>
  <c r="G4" i="3" l="1"/>
  <c r="H4" i="3" s="1"/>
  <c r="D5" i="3"/>
  <c r="E5" i="3" s="1"/>
  <c r="F5" i="3" s="1"/>
  <c r="C6" i="3"/>
  <c r="D6" i="3" l="1"/>
  <c r="E6" i="3" s="1"/>
  <c r="F6" i="3" s="1"/>
  <c r="C7" i="3"/>
  <c r="J4" i="3"/>
  <c r="G5" i="3"/>
  <c r="C8" i="3" l="1"/>
  <c r="D7" i="3"/>
  <c r="E7" i="3" s="1"/>
  <c r="F7" i="3" s="1"/>
  <c r="H5" i="3"/>
  <c r="J5" i="3" l="1"/>
  <c r="C9" i="3"/>
  <c r="D8" i="3"/>
  <c r="E8" i="3" s="1"/>
  <c r="F8" i="3" s="1"/>
  <c r="G6" i="3"/>
  <c r="C10" i="3" l="1"/>
  <c r="D9" i="3"/>
  <c r="E9" i="3" s="1"/>
  <c r="F9" i="3" s="1"/>
  <c r="H6" i="3"/>
  <c r="G7" i="3" s="1"/>
  <c r="H7" i="3" l="1"/>
  <c r="J7" i="3" s="1"/>
  <c r="C11" i="3"/>
  <c r="D10" i="3"/>
  <c r="E10" i="3" s="1"/>
  <c r="F10" i="3" s="1"/>
  <c r="J6" i="3"/>
  <c r="G8" i="3" l="1"/>
  <c r="H8" i="3" s="1"/>
  <c r="C12" i="3"/>
  <c r="D11" i="3"/>
  <c r="E11" i="3" s="1"/>
  <c r="F11" i="3" s="1"/>
  <c r="G9" i="3" l="1"/>
  <c r="H9" i="3" s="1"/>
  <c r="J9" i="3" s="1"/>
  <c r="C13" i="3"/>
  <c r="D12" i="3"/>
  <c r="E12" i="3" s="1"/>
  <c r="F12" i="3" s="1"/>
  <c r="J8" i="3"/>
  <c r="G10" i="3" l="1"/>
  <c r="H10" i="3" s="1"/>
  <c r="J10" i="3" s="1"/>
  <c r="C14" i="3"/>
  <c r="D13" i="3"/>
  <c r="E13" i="3" s="1"/>
  <c r="F13" i="3" s="1"/>
  <c r="C15" i="3" l="1"/>
  <c r="D14" i="3"/>
  <c r="E14" i="3" s="1"/>
  <c r="F14" i="3" s="1"/>
  <c r="G11" i="3"/>
  <c r="H11" i="3" l="1"/>
  <c r="J11" i="3" s="1"/>
  <c r="C16" i="3"/>
  <c r="D15" i="3"/>
  <c r="E15" i="3" s="1"/>
  <c r="F15" i="3" s="1"/>
  <c r="C17" i="3" l="1"/>
  <c r="D16" i="3"/>
  <c r="E16" i="3" s="1"/>
  <c r="F16" i="3" s="1"/>
  <c r="G12" i="3"/>
  <c r="H12" i="3" l="1"/>
  <c r="J12" i="3" s="1"/>
  <c r="C18" i="3"/>
  <c r="D18" i="3" s="1"/>
  <c r="E18" i="3" s="1"/>
  <c r="D17" i="3"/>
  <c r="E17" i="3" s="1"/>
  <c r="F17" i="3" s="1"/>
  <c r="F18" i="3" s="1"/>
  <c r="F19" i="3" s="1"/>
  <c r="G13" i="3" l="1"/>
  <c r="H13" i="3" l="1"/>
  <c r="J13" i="3" s="1"/>
  <c r="G14" i="3" l="1"/>
  <c r="H14" i="3" l="1"/>
  <c r="J14" i="3" s="1"/>
  <c r="G15" i="3"/>
  <c r="H15" i="3" l="1"/>
  <c r="J15" i="3" s="1"/>
  <c r="G16" i="3"/>
  <c r="H16" i="3" l="1"/>
  <c r="J16" i="3" s="1"/>
  <c r="G17" i="3"/>
  <c r="H17" i="3" l="1"/>
  <c r="J17" i="3" s="1"/>
  <c r="G18" i="3"/>
  <c r="H18" i="3" l="1"/>
  <c r="G19" i="3"/>
  <c r="J18" i="3" l="1"/>
  <c r="H19" i="3"/>
</calcChain>
</file>

<file path=xl/sharedStrings.xml><?xml version="1.0" encoding="utf-8"?>
<sst xmlns="http://schemas.openxmlformats.org/spreadsheetml/2006/main" count="618" uniqueCount="340">
  <si>
    <t>Total</t>
  </si>
  <si>
    <t>Les deux sexes</t>
  </si>
  <si>
    <t>France 2012</t>
  </si>
  <si>
    <t>http://unstats.un.org/unsd/demographic/products/dyb/dyb2013.htm</t>
  </si>
  <si>
    <t>Demographic Yearbook</t>
  </si>
  <si>
    <t>UN Home</t>
  </si>
  <si>
    <t>Department of Economic and Social Affairs</t>
  </si>
  <si>
    <t>Décès de moins d'un an</t>
  </si>
  <si>
    <t>naissances vivantes 2012</t>
  </si>
  <si>
    <t>année bissextile</t>
  </si>
  <si>
    <t>n</t>
  </si>
  <si>
    <t>ln(n+1)^3</t>
  </si>
  <si>
    <t>Décès cumulés</t>
  </si>
  <si>
    <t>ordonnéé à l'origine</t>
  </si>
  <si>
    <t>pente</t>
  </si>
  <si>
    <t>décès endogènes</t>
  </si>
  <si>
    <t>décès exogènes</t>
  </si>
  <si>
    <t>décès totaux</t>
  </si>
  <si>
    <t>taux de mortalité endogène</t>
  </si>
  <si>
    <t>taux de mortalité exogène</t>
  </si>
  <si>
    <t>taux de mortalité infantile</t>
  </si>
  <si>
    <t>p.1000</t>
  </si>
  <si>
    <t>0 jour</t>
  </si>
  <si>
    <t>1-6 jours</t>
  </si>
  <si>
    <t>7-13 jours</t>
  </si>
  <si>
    <t>28 jours - moins de 2 mois</t>
  </si>
  <si>
    <t>14-20 jours</t>
  </si>
  <si>
    <t>21-27 jours</t>
  </si>
  <si>
    <t>2 mois</t>
  </si>
  <si>
    <t>3 mois</t>
  </si>
  <si>
    <t>4 mois</t>
  </si>
  <si>
    <t>5 mois</t>
  </si>
  <si>
    <t>6 mois</t>
  </si>
  <si>
    <t>7 mois</t>
  </si>
  <si>
    <t>8 mois</t>
  </si>
  <si>
    <t>9 mois</t>
  </si>
  <si>
    <t>10 mois</t>
  </si>
  <si>
    <t>11 mois</t>
  </si>
  <si>
    <t>décès</t>
  </si>
  <si>
    <t>Naissances vivantes</t>
  </si>
  <si>
    <t>survivants</t>
  </si>
  <si>
    <t>qx</t>
  </si>
  <si>
    <t>px</t>
  </si>
  <si>
    <t>Sx</t>
  </si>
  <si>
    <t>dx</t>
  </si>
  <si>
    <t>x</t>
  </si>
  <si>
    <t>dx*</t>
  </si>
  <si>
    <t>âge</t>
  </si>
  <si>
    <t>début de l'intervalle</t>
  </si>
  <si>
    <t>Estimations de survie de la table de survie</t>
  </si>
  <si>
    <t>Intervalle</t>
  </si>
  <si>
    <t>Nombre</t>
  </si>
  <si>
    <t>d'échecs</t>
  </si>
  <si>
    <t>censuré</t>
  </si>
  <si>
    <t>Taille</t>
  </si>
  <si>
    <t>effective de</t>
  </si>
  <si>
    <t>l'échantillon</t>
  </si>
  <si>
    <t>Probabilité conditionnelle</t>
  </si>
  <si>
    <t>de l'échec</t>
  </si>
  <si>
    <t>Erreur type</t>
  </si>
  <si>
    <t>de la probabilité</t>
  </si>
  <si>
    <t>conditionnelle</t>
  </si>
  <si>
    <t>Survie</t>
  </si>
  <si>
    <t>Défaillance</t>
  </si>
  <si>
    <t>Erreur</t>
  </si>
  <si>
    <t>type</t>
  </si>
  <si>
    <t>de survie</t>
  </si>
  <si>
    <t>Durée de vie</t>
  </si>
  <si>
    <t>Résidus</t>
  </si>
  <si>
    <t>Médiane</t>
  </si>
  <si>
    <t>de la médiane</t>
  </si>
  <si>
    <t>Evalué(e) au centre de classe de l'intervalle</t>
  </si>
  <si>
    <t>[Inférieur,</t>
  </si>
  <si>
    <t>Supérieur)</t>
  </si>
  <si>
    <t>PDF</t>
  </si>
  <si>
    <t>Risque</t>
  </si>
  <si>
    <t>de hasard</t>
  </si>
  <si>
    <t>.</t>
  </si>
  <si>
    <t>Borne inférieure</t>
  </si>
  <si>
    <t>Estimation de</t>
  </si>
  <si>
    <t>Borne supérieure</t>
  </si>
  <si>
    <t>Centre de</t>
  </si>
  <si>
    <t>Estimation de la</t>
  </si>
  <si>
    <t>de l'intervalle</t>
  </si>
  <si>
    <t>la fonction</t>
  </si>
  <si>
    <t>de l'IC SDF</t>
  </si>
  <si>
    <t>classe de</t>
  </si>
  <si>
    <t>fonction de densité</t>
  </si>
  <si>
    <t>de l'IC PDF à 95.00%</t>
  </si>
  <si>
    <t>fonction de hasard</t>
  </si>
  <si>
    <t>de l'IC du hasard</t>
  </si>
  <si>
    <t>de temps</t>
  </si>
  <si>
    <t>de distribution</t>
  </si>
  <si>
    <t>à 95.00%</t>
  </si>
  <si>
    <t>l'intervalle</t>
  </si>
  <si>
    <t>au centre de classe</t>
  </si>
  <si>
    <t>1-Sx</t>
  </si>
  <si>
    <t xml:space="preserve">PROC IMPORT OUT= WORK.inm </t>
  </si>
  <si>
    <t xml:space="preserve">            DBMS=DBF REPLACE;</t>
  </si>
  <si>
    <t xml:space="preserve">     GETDELETED=NO;</t>
  </si>
  <si>
    <t>RUN;</t>
  </si>
  <si>
    <t>proc lifetest data=inm method=lt intervals=0 1 7 14 21 28 61 91 122 152 182 213 243 274 304 335 366</t>
  </si>
  <si>
    <t>where pays="France" ;</t>
  </si>
  <si>
    <t>time jours*cen(5);</t>
  </si>
  <si>
    <t>freq even;</t>
  </si>
  <si>
    <t>run;</t>
  </si>
  <si>
    <t xml:space="preserve">            DATAFILE= "………...\enfants.dbf" </t>
  </si>
  <si>
    <t>plots=(ls h p) outs=s;</t>
  </si>
  <si>
    <t xml:space="preserve">TABLEAU 68 - TABLE DE MORTALITÉ DES ANNÉES 2010 - 2012, données provisoires arrêtées à fin décembre 2013 </t>
  </si>
  <si>
    <t xml:space="preserve">                         Mortalité générale</t>
  </si>
  <si>
    <t xml:space="preserve">                        Survivants S(x) à l'âge x</t>
  </si>
  <si>
    <t xml:space="preserve">     Quotient de mortalité Q(x, x+1) pour 100 000 survivants à l'âge x 
     (âge en années révolues)</t>
  </si>
  <si>
    <t xml:space="preserve">                        Espérance de vie E(x) à l'âge x</t>
  </si>
  <si>
    <t>Sexe masculin</t>
  </si>
  <si>
    <t>Sexe féminin</t>
  </si>
  <si>
    <t>Ensemble</t>
  </si>
  <si>
    <t>Âge</t>
  </si>
  <si>
    <t>S(x)</t>
  </si>
  <si>
    <t>Q(x, x+1)</t>
  </si>
  <si>
    <t>E(x)</t>
  </si>
  <si>
    <t xml:space="preserve">0 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</si>
  <si>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</si>
  <si>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</si>
  <si>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</si>
  <si>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</si>
  <si>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</si>
  <si>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</si>
  <si>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</si>
  <si>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</si>
  <si>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</si>
  <si>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</si>
  <si>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</si>
  <si>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</si>
  <si>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</si>
  <si>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</si>
  <si>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</si>
  <si>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</si>
  <si>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17 </t>
  </si>
  <si>
    <t xml:space="preserve">18 </t>
  </si>
  <si>
    <t xml:space="preserve">19 </t>
  </si>
  <si>
    <t xml:space="preserve">20 </t>
  </si>
  <si>
    <t xml:space="preserve">21 </t>
  </si>
  <si>
    <t xml:space="preserve">22 </t>
  </si>
  <si>
    <t xml:space="preserve">23 </t>
  </si>
  <si>
    <t xml:space="preserve">24 </t>
  </si>
  <si>
    <t xml:space="preserve">25 </t>
  </si>
  <si>
    <t xml:space="preserve">26 </t>
  </si>
  <si>
    <t xml:space="preserve">27 </t>
  </si>
  <si>
    <t xml:space="preserve">28 </t>
  </si>
  <si>
    <t xml:space="preserve">29 </t>
  </si>
  <si>
    <t xml:space="preserve">30 </t>
  </si>
  <si>
    <t xml:space="preserve">31 </t>
  </si>
  <si>
    <t xml:space="preserve">32 </t>
  </si>
  <si>
    <t xml:space="preserve">33 </t>
  </si>
  <si>
    <t xml:space="preserve">34 </t>
  </si>
  <si>
    <t xml:space="preserve">35 </t>
  </si>
  <si>
    <t xml:space="preserve">36 </t>
  </si>
  <si>
    <t xml:space="preserve">37 </t>
  </si>
  <si>
    <t xml:space="preserve">38 </t>
  </si>
  <si>
    <t xml:space="preserve">39 </t>
  </si>
  <si>
    <t xml:space="preserve">40 </t>
  </si>
  <si>
    <t xml:space="preserve">41 </t>
  </si>
  <si>
    <t xml:space="preserve">42 </t>
  </si>
  <si>
    <t xml:space="preserve">43 </t>
  </si>
  <si>
    <t xml:space="preserve">44 </t>
  </si>
  <si>
    <t xml:space="preserve">45 </t>
  </si>
  <si>
    <t xml:space="preserve">46 </t>
  </si>
  <si>
    <t xml:space="preserve">47 </t>
  </si>
  <si>
    <t xml:space="preserve">48 </t>
  </si>
  <si>
    <t xml:space="preserve">49 </t>
  </si>
  <si>
    <t xml:space="preserve">50 </t>
  </si>
  <si>
    <t xml:space="preserve">51 </t>
  </si>
  <si>
    <t xml:space="preserve">52 </t>
  </si>
  <si>
    <t xml:space="preserve">53 </t>
  </si>
  <si>
    <t xml:space="preserve">54 </t>
  </si>
  <si>
    <t xml:space="preserve">55 </t>
  </si>
  <si>
    <t xml:space="preserve">56 </t>
  </si>
  <si>
    <t xml:space="preserve">57 </t>
  </si>
  <si>
    <t xml:space="preserve">58 </t>
  </si>
  <si>
    <t xml:space="preserve">59 </t>
  </si>
  <si>
    <t xml:space="preserve">60 </t>
  </si>
  <si>
    <t xml:space="preserve">61 </t>
  </si>
  <si>
    <t xml:space="preserve">62 </t>
  </si>
  <si>
    <t xml:space="preserve">63 </t>
  </si>
  <si>
    <t xml:space="preserve">64 </t>
  </si>
  <si>
    <t xml:space="preserve">65 </t>
  </si>
  <si>
    <t xml:space="preserve">66 </t>
  </si>
  <si>
    <t xml:space="preserve">67 </t>
  </si>
  <si>
    <t xml:space="preserve">68 </t>
  </si>
  <si>
    <t xml:space="preserve">69 </t>
  </si>
  <si>
    <t xml:space="preserve">70 </t>
  </si>
  <si>
    <t xml:space="preserve">71 </t>
  </si>
  <si>
    <t xml:space="preserve">72 </t>
  </si>
  <si>
    <t xml:space="preserve">73 </t>
  </si>
  <si>
    <t xml:space="preserve">74 </t>
  </si>
  <si>
    <t xml:space="preserve">75 </t>
  </si>
  <si>
    <t xml:space="preserve">76 </t>
  </si>
  <si>
    <t xml:space="preserve">77 </t>
  </si>
  <si>
    <t xml:space="preserve">78 </t>
  </si>
  <si>
    <t xml:space="preserve">79 </t>
  </si>
  <si>
    <t xml:space="preserve">80 </t>
  </si>
  <si>
    <t xml:space="preserve">81 </t>
  </si>
  <si>
    <t xml:space="preserve">82 </t>
  </si>
  <si>
    <t xml:space="preserve">83 </t>
  </si>
  <si>
    <t xml:space="preserve">84 </t>
  </si>
  <si>
    <t xml:space="preserve">85 </t>
  </si>
  <si>
    <t xml:space="preserve">86 </t>
  </si>
  <si>
    <t xml:space="preserve">87 </t>
  </si>
  <si>
    <t xml:space="preserve">88 </t>
  </si>
  <si>
    <t xml:space="preserve">89 </t>
  </si>
  <si>
    <t xml:space="preserve">90 </t>
  </si>
  <si>
    <t xml:space="preserve">91 </t>
  </si>
  <si>
    <t xml:space="preserve">92 </t>
  </si>
  <si>
    <t xml:space="preserve">93 </t>
  </si>
  <si>
    <t xml:space="preserve">94 </t>
  </si>
  <si>
    <t xml:space="preserve">95 </t>
  </si>
  <si>
    <t xml:space="preserve">96 </t>
  </si>
  <si>
    <t xml:space="preserve">97 </t>
  </si>
  <si>
    <t xml:space="preserve">98 </t>
  </si>
  <si>
    <t xml:space="preserve">99 </t>
  </si>
  <si>
    <t>Champ : France métropolitaine, territoire au 31 décembre 2012</t>
  </si>
  <si>
    <t xml:space="preserve">Source : Insee, statistiques de l'état civil et estimations de population </t>
  </si>
  <si>
    <t>https://www.ined.fr/fr/tout-savoir-population/chiffres/france/mortalite-cause-deces/table-mortalite/</t>
  </si>
  <si>
    <t>1 entrée</t>
  </si>
  <si>
    <t>Ledermann  1 vstup</t>
  </si>
  <si>
    <t>20q30(F)</t>
  </si>
  <si>
    <t>tableau 104 M</t>
  </si>
  <si>
    <t>tableau 104 F</t>
  </si>
  <si>
    <t>s(x)</t>
  </si>
  <si>
    <t>Hommes</t>
  </si>
  <si>
    <t>Femmes</t>
  </si>
  <si>
    <t>LEDERMANN 1 entrée</t>
  </si>
  <si>
    <t>Hommes médiane</t>
  </si>
  <si>
    <t>Femmes médiane</t>
  </si>
  <si>
    <t>ajustés</t>
  </si>
  <si>
    <t>observés</t>
  </si>
  <si>
    <t>Quotients</t>
  </si>
  <si>
    <t>15q0(MF)</t>
  </si>
  <si>
    <t>tableau 2 (M)</t>
  </si>
  <si>
    <t>tableau 2 (F)</t>
  </si>
  <si>
    <t>b0</t>
  </si>
  <si>
    <t>b1</t>
  </si>
  <si>
    <t>b2</t>
  </si>
  <si>
    <t>s</t>
  </si>
  <si>
    <t>LEDERMANN 2 entrées</t>
  </si>
  <si>
    <t>Ledermann  2 entrées</t>
  </si>
  <si>
    <t>Ledermann 1</t>
  </si>
  <si>
    <t>Ledermann 2</t>
  </si>
  <si>
    <t>Hommes France métropolitaine 2010-2012</t>
  </si>
  <si>
    <t>Brass</t>
  </si>
  <si>
    <t>standard général</t>
  </si>
  <si>
    <t>mx</t>
  </si>
  <si>
    <t>ax</t>
  </si>
  <si>
    <t>lx</t>
  </si>
  <si>
    <t>Lx</t>
  </si>
  <si>
    <t>tx</t>
  </si>
  <si>
    <t>ex</t>
  </si>
  <si>
    <t>2012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</si>
  <si>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</si>
  <si>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</si>
  <si>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</si>
  <si>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</si>
  <si>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</si>
  <si>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</si>
  <si>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</si>
  <si>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</si>
  <si>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</si>
  <si>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</si>
  <si>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</si>
  <si>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</si>
  <si>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</si>
  <si>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</si>
  <si>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</si>
  <si>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</si>
  <si>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</si>
  <si>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</si>
  <si>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</si>
  <si>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</si>
  <si>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</si>
  <si>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</si>
  <si>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</si>
  <si>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110+</t>
  </si>
  <si>
    <t>logit px</t>
  </si>
  <si>
    <t>Japon</t>
  </si>
  <si>
    <t>standard</t>
  </si>
  <si>
    <t xml:space="preserve">           Brass standard</t>
  </si>
  <si>
    <t xml:space="preserve">           Japon standard</t>
  </si>
  <si>
    <t>ordonée à l'origine</t>
  </si>
  <si>
    <t>Japon Hommes 2012</t>
  </si>
  <si>
    <t>http://www.mortality.org/</t>
  </si>
  <si>
    <t>2) Calculez la table de mortalité infantile pour les deux sexes, France 2012.</t>
  </si>
  <si>
    <t>1) Calculez les effectifs des décès endogènes et exogènes et des taux respectifs (endogène et exogène) de la mortalité infantile (les deux sexes France 2012).</t>
  </si>
  <si>
    <t>ȃge</t>
  </si>
  <si>
    <r>
      <t>4) Modélisez la distribution des p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  <charset val="238"/>
      </rPr>
      <t xml:space="preserve"> (p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  <charset val="238"/>
      </rPr>
      <t>=S</t>
    </r>
    <r>
      <rPr>
        <vertAlign val="subscript"/>
        <sz val="10"/>
        <color theme="1"/>
        <rFont val="Arial"/>
        <family val="2"/>
        <charset val="238"/>
      </rPr>
      <t xml:space="preserve">x </t>
    </r>
    <r>
      <rPr>
        <sz val="10"/>
        <color theme="1"/>
        <rFont val="Arial"/>
        <family val="2"/>
        <charset val="238"/>
      </rPr>
      <t>S</t>
    </r>
    <r>
      <rPr>
        <vertAlign val="subscript"/>
        <sz val="10"/>
        <color theme="1"/>
        <rFont val="Arial"/>
        <family val="2"/>
        <charset val="238"/>
      </rPr>
      <t>0</t>
    </r>
    <r>
      <rPr>
        <sz val="10"/>
        <color theme="1"/>
        <rFont val="Arial"/>
        <family val="2"/>
        <charset val="238"/>
      </rPr>
      <t>=1) en utilisant la méthode de tables types de Brass.</t>
    </r>
  </si>
  <si>
    <r>
      <t>q</t>
    </r>
    <r>
      <rPr>
        <vertAlign val="subscript"/>
        <sz val="10"/>
        <color theme="1"/>
        <rFont val="Arial"/>
        <family val="2"/>
        <charset val="238"/>
      </rPr>
      <t>x</t>
    </r>
  </si>
  <si>
    <r>
      <t>p</t>
    </r>
    <r>
      <rPr>
        <vertAlign val="subscript"/>
        <sz val="10"/>
        <color theme="1"/>
        <rFont val="Arial"/>
        <family val="2"/>
        <charset val="238"/>
      </rPr>
      <t>x</t>
    </r>
  </si>
  <si>
    <r>
      <t>1-q</t>
    </r>
    <r>
      <rPr>
        <vertAlign val="subscript"/>
        <sz val="10"/>
        <color theme="1"/>
        <rFont val="Arial"/>
        <family val="2"/>
        <charset val="238"/>
      </rPr>
      <t>x</t>
    </r>
  </si>
  <si>
    <r>
      <t>S</t>
    </r>
    <r>
      <rPr>
        <vertAlign val="subscript"/>
        <sz val="10"/>
        <color theme="1"/>
        <rFont val="Arial"/>
        <family val="2"/>
        <charset val="238"/>
      </rPr>
      <t>x</t>
    </r>
  </si>
  <si>
    <r>
      <t>d</t>
    </r>
    <r>
      <rPr>
        <vertAlign val="subscript"/>
        <sz val="10"/>
        <color theme="1"/>
        <rFont val="Arial"/>
        <family val="2"/>
        <charset val="238"/>
      </rPr>
      <t>x</t>
    </r>
  </si>
  <si>
    <r>
      <t>d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</rPr>
      <t>*</t>
    </r>
  </si>
  <si>
    <r>
      <rPr>
        <sz val="10"/>
        <color theme="1"/>
        <rFont val="Calibri"/>
        <family val="2"/>
      </rPr>
      <t>∏</t>
    </r>
    <r>
      <rPr>
        <sz val="10"/>
        <color theme="1"/>
        <rFont val="Arial"/>
        <family val="2"/>
      </rPr>
      <t>p</t>
    </r>
    <r>
      <rPr>
        <vertAlign val="subscript"/>
        <sz val="10"/>
        <color theme="1"/>
        <rFont val="Arial"/>
        <family val="2"/>
        <charset val="238"/>
      </rPr>
      <t>x</t>
    </r>
  </si>
  <si>
    <r>
      <t>p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  <charset val="238"/>
      </rPr>
      <t>=S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  <charset val="238"/>
      </rPr>
      <t>/S</t>
    </r>
    <r>
      <rPr>
        <vertAlign val="subscript"/>
        <sz val="10"/>
        <color theme="1"/>
        <rFont val="Arial"/>
        <family val="2"/>
        <charset val="238"/>
      </rPr>
      <t>0</t>
    </r>
  </si>
  <si>
    <r>
      <t>logit(p</t>
    </r>
    <r>
      <rPr>
        <vertAlign val="subscript"/>
        <sz val="10"/>
        <color theme="1"/>
        <rFont val="Arial"/>
        <family val="2"/>
        <charset val="238"/>
      </rPr>
      <t>x</t>
    </r>
    <r>
      <rPr>
        <sz val="10"/>
        <color theme="1"/>
        <rFont val="Arial"/>
        <family val="2"/>
        <charset val="238"/>
      </rPr>
      <t>)</t>
    </r>
  </si>
  <si>
    <t>Faites le graphique (méthode Bourgeois-Pichat). Utiliser la méthode des moindres carrés pour estimer les effectifs.</t>
  </si>
  <si>
    <r>
      <t>3) Modélisez la distribution des quotients de mortalité en utilisant la méthode de tables types de Ledermann 1 entrée (</t>
    </r>
    <r>
      <rPr>
        <vertAlign val="subscript"/>
        <sz val="10"/>
        <color theme="1"/>
        <rFont val="Arial"/>
        <family val="2"/>
      </rPr>
      <t>20</t>
    </r>
    <r>
      <rPr>
        <sz val="10"/>
        <color theme="1"/>
        <rFont val="Arial"/>
        <family val="2"/>
        <charset val="238"/>
      </rPr>
      <t>q</t>
    </r>
    <r>
      <rPr>
        <vertAlign val="subscript"/>
        <sz val="10"/>
        <color theme="1"/>
        <rFont val="Arial"/>
        <family val="2"/>
      </rPr>
      <t>30</t>
    </r>
    <r>
      <rPr>
        <sz val="10"/>
        <color theme="1"/>
        <rFont val="Arial"/>
        <family val="2"/>
        <charset val="238"/>
      </rPr>
      <t xml:space="preserve"> femmes). Calculez les estimations et les erreurs types respectives (</t>
    </r>
    <r>
      <rPr>
        <sz val="10"/>
        <color theme="1"/>
        <rFont val="Calibri"/>
        <family val="2"/>
      </rPr>
      <t>±</t>
    </r>
    <r>
      <rPr>
        <sz val="10"/>
        <color theme="1"/>
        <rFont val="Arial"/>
        <family val="2"/>
        <charset val="238"/>
      </rPr>
      <t>2s)</t>
    </r>
  </si>
  <si>
    <r>
      <t xml:space="preserve"> Modélisez la distribution des quotients de mortalité en utilisant la méthode de tables types de Ledermann 2 entrées (</t>
    </r>
    <r>
      <rPr>
        <vertAlign val="subscript"/>
        <sz val="10"/>
        <color theme="1"/>
        <rFont val="Arial"/>
        <family val="2"/>
      </rPr>
      <t>20</t>
    </r>
    <r>
      <rPr>
        <sz val="10"/>
        <color theme="1"/>
        <rFont val="Arial"/>
        <family val="2"/>
        <charset val="238"/>
      </rPr>
      <t>q</t>
    </r>
    <r>
      <rPr>
        <vertAlign val="subscript"/>
        <sz val="10"/>
        <color theme="1"/>
        <rFont val="Arial"/>
        <family val="2"/>
      </rPr>
      <t>30</t>
    </r>
    <r>
      <rPr>
        <sz val="10"/>
        <color theme="1"/>
        <rFont val="Arial"/>
        <family val="2"/>
        <charset val="238"/>
      </rPr>
      <t xml:space="preserve"> femmes et </t>
    </r>
    <r>
      <rPr>
        <vertAlign val="subscript"/>
        <sz val="10"/>
        <color theme="1"/>
        <rFont val="Arial"/>
        <family val="2"/>
      </rPr>
      <t>15</t>
    </r>
    <r>
      <rPr>
        <sz val="10"/>
        <color theme="1"/>
        <rFont val="Arial"/>
        <family val="2"/>
        <charset val="238"/>
      </rPr>
      <t>q</t>
    </r>
    <r>
      <rPr>
        <vertAlign val="subscript"/>
        <sz val="10"/>
        <color theme="1"/>
        <rFont val="Arial"/>
        <family val="2"/>
      </rPr>
      <t>0</t>
    </r>
    <r>
      <rPr>
        <sz val="10"/>
        <color theme="1"/>
        <rFont val="Arial"/>
        <family val="2"/>
        <charset val="238"/>
      </rPr>
      <t xml:space="preserve"> MF).  Calculez les estimations et les erreurs types respectives (±2s)</t>
    </r>
  </si>
  <si>
    <r>
      <t xml:space="preserve">Faites les graphiques comparatifs (valeurs observées et ajustées); les valeurs estimées et l'intervalle de </t>
    </r>
    <r>
      <rPr>
        <sz val="10"/>
        <color theme="1"/>
        <rFont val="Calibri"/>
        <family val="2"/>
      </rPr>
      <t>±</t>
    </r>
    <r>
      <rPr>
        <sz val="10"/>
        <color theme="1"/>
        <rFont val="Arial"/>
        <family val="2"/>
        <charset val="238"/>
      </rPr>
      <t>2s. Faites pour les hommes et femmes. Commentez.</t>
    </r>
  </si>
  <si>
    <t>Exécuter deux fois (pour un standard général de Brass) et la deuxième fois en utilisant comme standard hommes japonais 2012.</t>
  </si>
  <si>
    <t>Faites les graphiques comparatifs (valeurs observées, valeurs ajustées: standard Brass; standard japonais).</t>
  </si>
  <si>
    <r>
      <rPr>
        <b/>
        <vertAlign val="subscript"/>
        <sz val="10"/>
        <color theme="1"/>
        <rFont val="Arial"/>
        <family val="2"/>
      </rPr>
      <t>20</t>
    </r>
    <r>
      <rPr>
        <b/>
        <sz val="10"/>
        <color theme="1"/>
        <rFont val="Arial"/>
        <family val="2"/>
      </rPr>
      <t>q</t>
    </r>
    <r>
      <rPr>
        <b/>
        <vertAlign val="subscript"/>
        <sz val="10"/>
        <color theme="1"/>
        <rFont val="Arial"/>
        <family val="2"/>
      </rPr>
      <t>30</t>
    </r>
    <r>
      <rPr>
        <b/>
        <sz val="10"/>
        <color theme="1"/>
        <rFont val="Arial"/>
        <family val="2"/>
      </rPr>
      <t xml:space="preserve"> (femmes) p.1000</t>
    </r>
  </si>
  <si>
    <r>
      <rPr>
        <b/>
        <vertAlign val="subscript"/>
        <sz val="10"/>
        <rFont val="Arial"/>
        <family val="2"/>
      </rPr>
      <t>15</t>
    </r>
    <r>
      <rPr>
        <b/>
        <sz val="10"/>
        <rFont val="Arial"/>
        <family val="2"/>
        <charset val="238"/>
      </rPr>
      <t>q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  <charset val="238"/>
      </rPr>
      <t>(MF)</t>
    </r>
  </si>
  <si>
    <r>
      <rPr>
        <b/>
        <vertAlign val="subscript"/>
        <sz val="10"/>
        <rFont val="Arial"/>
        <family val="2"/>
      </rPr>
      <t>15</t>
    </r>
    <r>
      <rPr>
        <b/>
        <sz val="10"/>
        <rFont val="Arial"/>
        <family val="2"/>
        <charset val="238"/>
      </rPr>
      <t>q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  <charset val="238"/>
      </rPr>
      <t>(MF) p.1000</t>
    </r>
  </si>
  <si>
    <r>
      <rPr>
        <b/>
        <vertAlign val="subscript"/>
        <sz val="10"/>
        <color theme="1"/>
        <rFont val="Arial"/>
        <family val="2"/>
      </rPr>
      <t>20</t>
    </r>
    <r>
      <rPr>
        <b/>
        <sz val="10"/>
        <color theme="1"/>
        <rFont val="Arial"/>
        <family val="2"/>
      </rPr>
      <t>q</t>
    </r>
    <r>
      <rPr>
        <b/>
        <vertAlign val="subscript"/>
        <sz val="10"/>
        <color theme="1"/>
        <rFont val="Arial"/>
        <family val="2"/>
      </rPr>
      <t xml:space="preserve">30 </t>
    </r>
    <r>
      <rPr>
        <b/>
        <sz val="10"/>
        <color theme="1"/>
        <rFont val="Arial"/>
        <family val="2"/>
      </rPr>
      <t>(femmes)</t>
    </r>
  </si>
  <si>
    <r>
      <t>log</t>
    </r>
    <r>
      <rPr>
        <b/>
        <vertAlign val="subscript"/>
        <sz val="10"/>
        <color rgb="FFFF0000"/>
        <rFont val="Arial"/>
        <family val="2"/>
      </rPr>
      <t>10</t>
    </r>
    <r>
      <rPr>
        <b/>
        <sz val="10"/>
        <color rgb="FFFF0000"/>
        <rFont val="Arial"/>
        <family val="2"/>
      </rPr>
      <t>Q1=</t>
    </r>
  </si>
  <si>
    <r>
      <t>log</t>
    </r>
    <r>
      <rPr>
        <b/>
        <vertAlign val="subscript"/>
        <sz val="10"/>
        <color rgb="FFFF0000"/>
        <rFont val="Arial"/>
        <family val="2"/>
      </rPr>
      <t>10</t>
    </r>
    <r>
      <rPr>
        <b/>
        <sz val="10"/>
        <color rgb="FFFF0000"/>
        <rFont val="Arial"/>
        <family val="2"/>
      </rPr>
      <t>Q2=</t>
    </r>
  </si>
  <si>
    <r>
      <t>log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  <charset val="238"/>
      </rPr>
      <t>Q1=</t>
    </r>
  </si>
  <si>
    <r>
      <t>log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  <charset val="238"/>
      </rPr>
      <t>Q2=</t>
    </r>
  </si>
  <si>
    <r>
      <rPr>
        <b/>
        <vertAlign val="subscript"/>
        <sz val="10"/>
        <rFont val="Arial"/>
        <family val="2"/>
      </rPr>
      <t>20</t>
    </r>
    <r>
      <rPr>
        <b/>
        <sz val="10"/>
        <rFont val="Arial"/>
        <family val="2"/>
        <charset val="238"/>
      </rPr>
      <t>q</t>
    </r>
    <r>
      <rPr>
        <b/>
        <vertAlign val="subscript"/>
        <sz val="10"/>
        <rFont val="Arial"/>
        <family val="2"/>
      </rPr>
      <t>30</t>
    </r>
    <r>
      <rPr>
        <b/>
        <sz val="10"/>
        <rFont val="Arial"/>
        <family val="2"/>
        <charset val="238"/>
      </rPr>
      <t xml:space="preserve"> (femmes)</t>
    </r>
  </si>
  <si>
    <t>Décès</t>
  </si>
  <si>
    <t>réduits</t>
  </si>
  <si>
    <t>(jours)</t>
  </si>
  <si>
    <t>Probabilié</t>
  </si>
  <si>
    <t>Moins de 1 jour</t>
  </si>
  <si>
    <t>1 - 6 jours</t>
  </si>
  <si>
    <t>7 - 27 jours</t>
  </si>
  <si>
    <t>7 - 13 jours</t>
  </si>
  <si>
    <t>14 - 20 jours</t>
  </si>
  <si>
    <t>21 - 27 jours</t>
  </si>
  <si>
    <t>28 jours - 11 mois</t>
  </si>
  <si>
    <t>taux p.1000</t>
  </si>
  <si>
    <t>1 mois moyen =</t>
  </si>
  <si>
    <t>Données brutes</t>
  </si>
  <si>
    <t>médiane</t>
  </si>
  <si>
    <r>
      <rPr>
        <b/>
        <vertAlign val="subscript"/>
        <sz val="10"/>
        <color theme="1"/>
        <rFont val="Calibri"/>
        <family val="2"/>
        <charset val="204"/>
        <scheme val="minor"/>
      </rPr>
      <t>20</t>
    </r>
    <r>
      <rPr>
        <b/>
        <sz val="10"/>
        <color theme="1"/>
        <rFont val="Calibri"/>
        <family val="2"/>
        <charset val="204"/>
        <scheme val="minor"/>
      </rPr>
      <t>q</t>
    </r>
    <r>
      <rPr>
        <b/>
        <vertAlign val="subscript"/>
        <sz val="10"/>
        <color theme="1"/>
        <rFont val="Calibri"/>
        <family val="2"/>
        <charset val="204"/>
        <scheme val="minor"/>
      </rPr>
      <t>30</t>
    </r>
    <r>
      <rPr>
        <b/>
        <sz val="10"/>
        <color theme="1"/>
        <rFont val="Calibri"/>
        <family val="2"/>
        <charset val="204"/>
        <scheme val="minor"/>
      </rPr>
      <t xml:space="preserve"> (femmes)</t>
    </r>
  </si>
  <si>
    <r>
      <rPr>
        <b/>
        <vertAlign val="subscript"/>
        <sz val="10"/>
        <color theme="1"/>
        <rFont val="Calibri"/>
        <family val="2"/>
        <charset val="204"/>
        <scheme val="minor"/>
      </rPr>
      <t>20</t>
    </r>
    <r>
      <rPr>
        <b/>
        <sz val="10"/>
        <color theme="1"/>
        <rFont val="Calibri"/>
        <family val="2"/>
        <charset val="204"/>
        <scheme val="minor"/>
      </rPr>
      <t>q</t>
    </r>
    <r>
      <rPr>
        <b/>
        <vertAlign val="subscript"/>
        <sz val="10"/>
        <color theme="1"/>
        <rFont val="Calibri"/>
        <family val="2"/>
        <charset val="204"/>
        <scheme val="minor"/>
      </rPr>
      <t>30</t>
    </r>
    <r>
      <rPr>
        <b/>
        <sz val="10"/>
        <color theme="1"/>
        <rFont val="Calibri"/>
        <family val="2"/>
        <charset val="204"/>
        <scheme val="minor"/>
      </rPr>
      <t xml:space="preserve"> (femmes) p.1000</t>
    </r>
  </si>
  <si>
    <r>
      <t>log</t>
    </r>
    <r>
      <rPr>
        <b/>
        <vertAlign val="subscript"/>
        <sz val="10"/>
        <color rgb="FFFF0000"/>
        <rFont val="Calibri"/>
        <family val="2"/>
        <charset val="204"/>
        <scheme val="minor"/>
      </rPr>
      <t>10</t>
    </r>
    <r>
      <rPr>
        <b/>
        <sz val="10"/>
        <color rgb="FFFF0000"/>
        <rFont val="Calibri"/>
        <family val="2"/>
        <charset val="204"/>
        <scheme val="minor"/>
      </rPr>
      <t>Q=</t>
    </r>
  </si>
  <si>
    <r>
      <rPr>
        <b/>
        <vertAlign val="subscript"/>
        <sz val="10"/>
        <rFont val="Calibri"/>
        <family val="2"/>
        <charset val="204"/>
        <scheme val="minor"/>
      </rPr>
      <t>20</t>
    </r>
    <r>
      <rPr>
        <b/>
        <sz val="10"/>
        <rFont val="Calibri"/>
        <family val="2"/>
        <charset val="204"/>
        <scheme val="minor"/>
      </rPr>
      <t>q</t>
    </r>
    <r>
      <rPr>
        <b/>
        <vertAlign val="subscript"/>
        <sz val="10"/>
        <rFont val="Calibri"/>
        <family val="2"/>
        <charset val="204"/>
        <scheme val="minor"/>
      </rPr>
      <t>30</t>
    </r>
    <r>
      <rPr>
        <b/>
        <sz val="10"/>
        <rFont val="Calibri"/>
        <family val="2"/>
        <charset val="204"/>
        <scheme val="minor"/>
      </rPr>
      <t>(F)</t>
    </r>
  </si>
  <si>
    <r>
      <t>a</t>
    </r>
    <r>
      <rPr>
        <b/>
        <vertAlign val="subscript"/>
        <sz val="10"/>
        <rFont val="Calibri"/>
        <family val="2"/>
        <charset val="204"/>
        <scheme val="minor"/>
      </rPr>
      <t>0</t>
    </r>
    <r>
      <rPr>
        <b/>
        <sz val="10"/>
        <rFont val="Calibri"/>
        <family val="2"/>
        <charset val="204"/>
        <scheme val="minor"/>
      </rPr>
      <t>(x)</t>
    </r>
  </si>
  <si>
    <r>
      <t>a</t>
    </r>
    <r>
      <rPr>
        <b/>
        <vertAlign val="subscript"/>
        <sz val="10"/>
        <rFont val="Calibri"/>
        <family val="2"/>
        <charset val="204"/>
        <scheme val="minor"/>
      </rPr>
      <t>1</t>
    </r>
    <r>
      <rPr>
        <b/>
        <sz val="10"/>
        <rFont val="Calibri"/>
        <family val="2"/>
        <charset val="204"/>
        <scheme val="minor"/>
      </rPr>
      <t>(x)</t>
    </r>
  </si>
  <si>
    <r>
      <t>logQ</t>
    </r>
    <r>
      <rPr>
        <b/>
        <vertAlign val="subscript"/>
        <sz val="10"/>
        <color rgb="FFC00000"/>
        <rFont val="Calibri"/>
        <family val="2"/>
        <charset val="204"/>
        <scheme val="minor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</si>
</sst>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0.00000000"/>
    <numFmt numFmtId="166" formatCode="0.0000000"/>
    <numFmt numFmtId="167" formatCode="0.000000"/>
    <numFmt numFmtId="168" formatCode="0.00000"/>
    <numFmt numFmtId="169" formatCode="0.000"/>
    <numFmt numFmtId="170" formatCode="#,##0&quot; &quot;"/>
    <numFmt numFmtId="171" formatCode="#,##0.00&quot; &quot;"/>
    <numFmt numFmtId="172" formatCode="#,##0.000"/>
  </numFmts>
  <fonts count="3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rgb="FF33333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color rgb="FFC00000"/>
      <name val="Arial"/>
      <family val="2"/>
      <charset val="238"/>
    </font>
    <font>
      <b/>
      <vertAlign val="subscript"/>
      <sz val="10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vertAlign val="sub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vertAlign val="subscript"/>
      <sz val="10"/>
      <name val="Arial"/>
      <family val="2"/>
    </font>
    <font>
      <vertAlign val="subscript"/>
      <sz val="10"/>
      <name val="Arial"/>
      <family val="2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vertAlign val="subscript"/>
      <sz val="10"/>
      <color theme="1"/>
      <name val="Calibri"/>
      <family val="2"/>
      <charset val="204"/>
      <scheme val="minor"/>
    </font>
    <font>
      <b/>
      <vertAlign val="subscript"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vertAlign val="subscript"/>
      <sz val="10"/>
      <color rgb="FFC0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0" borderId="0" xfId="1" applyFont="1"/>
    <xf numFmtId="3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right"/>
    </xf>
    <xf numFmtId="2" fontId="3" fillId="2" borderId="0" xfId="0" applyNumberFormat="1" applyFont="1" applyFill="1"/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6" fillId="0" borderId="0" xfId="0" applyFont="1"/>
    <xf numFmtId="166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/>
    <xf numFmtId="169" fontId="6" fillId="0" borderId="0" xfId="0" applyNumberFormat="1" applyFont="1"/>
    <xf numFmtId="49" fontId="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3" fontId="9" fillId="0" borderId="0" xfId="0" applyNumberFormat="1" applyFont="1"/>
    <xf numFmtId="167" fontId="9" fillId="0" borderId="0" xfId="0" applyNumberFormat="1" applyFont="1"/>
    <xf numFmtId="3" fontId="3" fillId="0" borderId="0" xfId="0" applyNumberFormat="1" applyFont="1" applyAlignment="1">
      <alignment horizontal="right"/>
    </xf>
    <xf numFmtId="167" fontId="3" fillId="3" borderId="0" xfId="0" applyNumberFormat="1" applyFont="1" applyFill="1"/>
    <xf numFmtId="167" fontId="3" fillId="5" borderId="0" xfId="0" applyNumberFormat="1" applyFont="1" applyFill="1"/>
    <xf numFmtId="167" fontId="9" fillId="5" borderId="0" xfId="0" applyNumberFormat="1" applyFont="1" applyFill="1"/>
    <xf numFmtId="0" fontId="3" fillId="6" borderId="0" xfId="0" applyFont="1" applyFill="1"/>
    <xf numFmtId="168" fontId="3" fillId="6" borderId="0" xfId="0" applyNumberFormat="1" applyFont="1" applyFill="1"/>
    <xf numFmtId="0" fontId="3" fillId="7" borderId="0" xfId="0" applyFont="1" applyFill="1" applyAlignment="1">
      <alignment horizontal="right"/>
    </xf>
    <xf numFmtId="167" fontId="3" fillId="7" borderId="0" xfId="0" applyNumberFormat="1" applyFont="1" applyFill="1"/>
    <xf numFmtId="3" fontId="3" fillId="2" borderId="0" xfId="0" applyNumberFormat="1" applyFont="1" applyFill="1"/>
    <xf numFmtId="1" fontId="3" fillId="2" borderId="0" xfId="0" applyNumberFormat="1" applyFont="1" applyFill="1"/>
    <xf numFmtId="168" fontId="3" fillId="2" borderId="0" xfId="0" applyNumberFormat="1" applyFont="1" applyFill="1"/>
    <xf numFmtId="0" fontId="3" fillId="4" borderId="0" xfId="0" applyFont="1" applyFill="1" applyAlignment="1">
      <alignment horizontal="right"/>
    </xf>
    <xf numFmtId="169" fontId="3" fillId="4" borderId="0" xfId="0" applyNumberFormat="1" applyFont="1" applyFill="1"/>
    <xf numFmtId="165" fontId="3" fillId="4" borderId="0" xfId="0" applyNumberFormat="1" applyFont="1" applyFill="1"/>
    <xf numFmtId="167" fontId="3" fillId="6" borderId="0" xfId="0" applyNumberFormat="1" applyFont="1" applyFill="1"/>
    <xf numFmtId="3" fontId="3" fillId="6" borderId="0" xfId="0" applyNumberFormat="1" applyFont="1" applyFill="1"/>
    <xf numFmtId="3" fontId="6" fillId="6" borderId="0" xfId="0" applyNumberFormat="1" applyFont="1" applyFill="1"/>
    <xf numFmtId="166" fontId="3" fillId="4" borderId="0" xfId="0" applyNumberFormat="1" applyFont="1" applyFill="1"/>
    <xf numFmtId="166" fontId="3" fillId="3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1" xfId="0" applyFont="1" applyFill="1" applyBorder="1"/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6" xfId="0" applyFont="1" applyFill="1" applyBorder="1" applyAlignment="1">
      <alignment horizontal="centerContinuous" vertical="center"/>
    </xf>
    <xf numFmtId="0" fontId="10" fillId="0" borderId="7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1" xfId="0" applyFont="1" applyFill="1" applyBorder="1"/>
    <xf numFmtId="0" fontId="10" fillId="0" borderId="11" xfId="0" applyFont="1" applyFill="1" applyBorder="1" applyAlignment="1">
      <alignment horizontal="center" vertical="center"/>
    </xf>
    <xf numFmtId="170" fontId="10" fillId="0" borderId="0" xfId="0" applyNumberFormat="1" applyFont="1" applyFill="1" applyAlignment="1">
      <alignment horizontal="right" vertical="center"/>
    </xf>
    <xf numFmtId="171" fontId="10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170" fontId="10" fillId="0" borderId="9" xfId="0" applyNumberFormat="1" applyFont="1" applyFill="1" applyBorder="1" applyAlignment="1">
      <alignment horizontal="right" vertical="center"/>
    </xf>
    <xf numFmtId="171" fontId="10" fillId="0" borderId="9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7" fontId="7" fillId="0" borderId="0" xfId="0" applyNumberFormat="1" applyFont="1"/>
    <xf numFmtId="0" fontId="12" fillId="0" borderId="0" xfId="0" applyFont="1"/>
    <xf numFmtId="167" fontId="12" fillId="0" borderId="0" xfId="0" applyNumberFormat="1" applyFont="1"/>
    <xf numFmtId="168" fontId="15" fillId="0" borderId="0" xfId="0" applyNumberFormat="1" applyFont="1"/>
    <xf numFmtId="168" fontId="12" fillId="0" borderId="0" xfId="0" applyNumberFormat="1" applyFont="1"/>
    <xf numFmtId="168" fontId="13" fillId="0" borderId="0" xfId="0" applyNumberFormat="1" applyFont="1"/>
    <xf numFmtId="167" fontId="13" fillId="0" borderId="0" xfId="0" applyNumberFormat="1" applyFont="1" applyAlignment="1">
      <alignment horizontal="right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68" fontId="13" fillId="0" borderId="0" xfId="0" applyNumberFormat="1" applyFont="1" applyFill="1" applyAlignment="1">
      <alignment horizontal="center"/>
    </xf>
    <xf numFmtId="168" fontId="12" fillId="0" borderId="0" xfId="0" applyNumberFormat="1" applyFont="1" applyFill="1"/>
    <xf numFmtId="0" fontId="12" fillId="0" borderId="0" xfId="0" applyFont="1" applyFill="1"/>
    <xf numFmtId="0" fontId="3" fillId="0" borderId="0" xfId="0" applyFont="1" applyFill="1"/>
    <xf numFmtId="0" fontId="12" fillId="4" borderId="0" xfId="0" applyFont="1" applyFill="1"/>
    <xf numFmtId="0" fontId="12" fillId="3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12" fillId="5" borderId="0" xfId="0" applyFont="1" applyFill="1"/>
    <xf numFmtId="2" fontId="3" fillId="5" borderId="0" xfId="0" applyNumberFormat="1" applyFont="1" applyFill="1"/>
    <xf numFmtId="0" fontId="12" fillId="10" borderId="0" xfId="0" applyFont="1" applyFill="1"/>
    <xf numFmtId="168" fontId="15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left"/>
    </xf>
    <xf numFmtId="0" fontId="13" fillId="12" borderId="0" xfId="0" quotePrefix="1" applyFont="1" applyFill="1" applyAlignment="1">
      <alignment horizontal="left"/>
    </xf>
    <xf numFmtId="0" fontId="12" fillId="12" borderId="0" xfId="0" applyFont="1" applyFill="1"/>
    <xf numFmtId="0" fontId="13" fillId="12" borderId="0" xfId="0" applyFont="1" applyFill="1"/>
    <xf numFmtId="0" fontId="13" fillId="4" borderId="0" xfId="0" applyFont="1" applyFill="1" applyAlignment="1">
      <alignment horizontal="right"/>
    </xf>
    <xf numFmtId="168" fontId="12" fillId="4" borderId="0" xfId="0" applyNumberFormat="1" applyFont="1" applyFill="1"/>
    <xf numFmtId="0" fontId="4" fillId="12" borderId="0" xfId="0" applyFont="1" applyFill="1" applyAlignment="1">
      <alignment horizontal="left"/>
    </xf>
    <xf numFmtId="0" fontId="3" fillId="12" borderId="0" xfId="0" applyFont="1" applyFill="1"/>
    <xf numFmtId="0" fontId="13" fillId="3" borderId="0" xfId="0" applyFont="1" applyFill="1" applyAlignment="1">
      <alignment horizontal="right"/>
    </xf>
    <xf numFmtId="2" fontId="12" fillId="3" borderId="0" xfId="0" applyNumberFormat="1" applyFont="1" applyFill="1"/>
    <xf numFmtId="0" fontId="3" fillId="5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2" fillId="2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/>
    <xf numFmtId="0" fontId="18" fillId="0" borderId="0" xfId="0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8" fontId="18" fillId="0" borderId="0" xfId="0" applyNumberFormat="1" applyFont="1" applyFill="1"/>
    <xf numFmtId="168" fontId="17" fillId="0" borderId="0" xfId="0" applyNumberFormat="1" applyFont="1"/>
    <xf numFmtId="0" fontId="17" fillId="0" borderId="0" xfId="0" applyFont="1"/>
    <xf numFmtId="49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/>
    <xf numFmtId="3" fontId="18" fillId="6" borderId="0" xfId="0" applyNumberFormat="1" applyFont="1" applyFill="1"/>
    <xf numFmtId="0" fontId="17" fillId="0" borderId="0" xfId="0" applyFont="1" applyAlignment="1">
      <alignment horizontal="right"/>
    </xf>
    <xf numFmtId="0" fontId="18" fillId="6" borderId="0" xfId="0" applyFont="1" applyFill="1" applyAlignment="1">
      <alignment horizontal="right"/>
    </xf>
    <xf numFmtId="0" fontId="18" fillId="6" borderId="0" xfId="0" applyFont="1" applyFill="1"/>
    <xf numFmtId="168" fontId="18" fillId="6" borderId="0" xfId="0" applyNumberFormat="1" applyFont="1" applyFill="1"/>
    <xf numFmtId="0" fontId="19" fillId="0" borderId="0" xfId="0" applyFont="1" applyAlignment="1">
      <alignment horizontal="right"/>
    </xf>
    <xf numFmtId="0" fontId="21" fillId="0" borderId="0" xfId="0" applyFont="1"/>
    <xf numFmtId="167" fontId="6" fillId="0" borderId="0" xfId="0" applyNumberFormat="1" applyFont="1"/>
    <xf numFmtId="1" fontId="3" fillId="0" borderId="0" xfId="0" applyNumberFormat="1" applyFont="1" applyFill="1"/>
    <xf numFmtId="0" fontId="14" fillId="12" borderId="0" xfId="0" applyFont="1" applyFill="1"/>
    <xf numFmtId="0" fontId="14" fillId="0" borderId="0" xfId="0" applyFont="1" applyFill="1"/>
    <xf numFmtId="168" fontId="14" fillId="0" borderId="0" xfId="0" applyNumberFormat="1" applyFont="1" applyFill="1" applyAlignment="1">
      <alignment horizontal="center"/>
    </xf>
    <xf numFmtId="168" fontId="14" fillId="0" borderId="0" xfId="0" applyNumberFormat="1" applyFont="1" applyFill="1"/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172" fontId="7" fillId="0" borderId="0" xfId="0" applyNumberFormat="1" applyFont="1"/>
    <xf numFmtId="0" fontId="3" fillId="0" borderId="0" xfId="0" applyFont="1" applyAlignment="1"/>
    <xf numFmtId="0" fontId="10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29" fillId="0" borderId="0" xfId="0" applyFont="1"/>
    <xf numFmtId="0" fontId="30" fillId="0" borderId="0" xfId="0" applyFont="1" applyFill="1" applyAlignment="1">
      <alignment vertical="center"/>
    </xf>
    <xf numFmtId="0" fontId="28" fillId="0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31" fillId="0" borderId="0" xfId="0" applyFont="1" applyAlignment="1">
      <alignment horizontal="right"/>
    </xf>
    <xf numFmtId="0" fontId="28" fillId="0" borderId="1" xfId="0" applyFont="1" applyFill="1" applyBorder="1"/>
    <xf numFmtId="0" fontId="28" fillId="0" borderId="2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32" fillId="0" borderId="0" xfId="0" applyFont="1" applyAlignment="1">
      <alignment horizontal="left"/>
    </xf>
    <xf numFmtId="0" fontId="28" fillId="0" borderId="5" xfId="0" applyFont="1" applyFill="1" applyBorder="1"/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167" fontId="29" fillId="0" borderId="0" xfId="0" applyNumberFormat="1" applyFont="1"/>
    <xf numFmtId="168" fontId="29" fillId="0" borderId="0" xfId="0" applyNumberFormat="1" applyFont="1"/>
    <xf numFmtId="0" fontId="28" fillId="0" borderId="5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167" fontId="31" fillId="0" borderId="0" xfId="0" applyNumberFormat="1" applyFont="1"/>
    <xf numFmtId="0" fontId="28" fillId="0" borderId="1" xfId="0" applyFont="1" applyFill="1" applyBorder="1" applyAlignment="1">
      <alignment horizontal="centerContinuous" vertical="center"/>
    </xf>
    <xf numFmtId="0" fontId="28" fillId="0" borderId="0" xfId="0" applyFont="1" applyFill="1" applyBorder="1" applyAlignment="1">
      <alignment horizontal="centerContinuous" vertical="center"/>
    </xf>
    <xf numFmtId="0" fontId="28" fillId="0" borderId="6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0" xfId="0" applyFont="1"/>
    <xf numFmtId="0" fontId="35" fillId="11" borderId="0" xfId="0" quotePrefix="1" applyFont="1" applyFill="1" applyAlignment="1">
      <alignment horizontal="left"/>
    </xf>
    <xf numFmtId="0" fontId="35" fillId="11" borderId="0" xfId="0" applyFont="1" applyFill="1" applyAlignment="1">
      <alignment horizontal="right"/>
    </xf>
    <xf numFmtId="0" fontId="28" fillId="11" borderId="0" xfId="0" applyFont="1" applyFill="1"/>
    <xf numFmtId="0" fontId="35" fillId="11" borderId="0" xfId="0" applyFont="1" applyFill="1"/>
    <xf numFmtId="0" fontId="28" fillId="0" borderId="11" xfId="0" applyFont="1" applyFill="1" applyBorder="1"/>
    <xf numFmtId="0" fontId="28" fillId="0" borderId="11" xfId="0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35" fillId="0" borderId="0" xfId="0" quotePrefix="1" applyFont="1" applyAlignment="1">
      <alignment horizontal="left"/>
    </xf>
    <xf numFmtId="0" fontId="35" fillId="8" borderId="0" xfId="0" applyFont="1" applyFill="1"/>
    <xf numFmtId="0" fontId="35" fillId="0" borderId="0" xfId="0" applyFont="1"/>
    <xf numFmtId="170" fontId="28" fillId="0" borderId="0" xfId="0" applyNumberFormat="1" applyFont="1" applyFill="1" applyAlignment="1">
      <alignment horizontal="right" vertical="center"/>
    </xf>
    <xf numFmtId="171" fontId="28" fillId="0" borderId="0" xfId="0" applyNumberFormat="1" applyFont="1" applyFill="1" applyAlignment="1">
      <alignment horizontal="right" vertical="center"/>
    </xf>
    <xf numFmtId="49" fontId="28" fillId="0" borderId="0" xfId="0" applyNumberFormat="1" applyFont="1" applyFill="1" applyAlignment="1">
      <alignment horizontal="center"/>
    </xf>
    <xf numFmtId="167" fontId="28" fillId="0" borderId="0" xfId="0" applyNumberFormat="1" applyFont="1"/>
    <xf numFmtId="168" fontId="37" fillId="0" borderId="0" xfId="0" applyNumberFormat="1" applyFont="1"/>
    <xf numFmtId="168" fontId="28" fillId="0" borderId="0" xfId="0" applyNumberFormat="1" applyFont="1"/>
    <xf numFmtId="168" fontId="37" fillId="0" borderId="0" xfId="0" applyNumberFormat="1" applyFont="1" applyFill="1" applyAlignment="1">
      <alignment horizontal="right"/>
    </xf>
    <xf numFmtId="168" fontId="35" fillId="0" borderId="0" xfId="0" applyNumberFormat="1" applyFont="1" applyFill="1" applyAlignment="1">
      <alignment horizontal="center"/>
    </xf>
    <xf numFmtId="168" fontId="28" fillId="0" borderId="0" xfId="0" applyNumberFormat="1" applyFont="1" applyFill="1"/>
    <xf numFmtId="168" fontId="35" fillId="0" borderId="0" xfId="0" applyNumberFormat="1" applyFont="1" applyAlignment="1">
      <alignment horizontal="right"/>
    </xf>
    <xf numFmtId="167" fontId="35" fillId="0" borderId="0" xfId="0" applyNumberFormat="1" applyFont="1" applyAlignment="1">
      <alignment horizontal="right"/>
    </xf>
    <xf numFmtId="0" fontId="35" fillId="9" borderId="0" xfId="0" applyFont="1" applyFill="1" applyAlignment="1">
      <alignment horizontal="right"/>
    </xf>
    <xf numFmtId="0" fontId="28" fillId="9" borderId="0" xfId="0" applyFont="1" applyFill="1" applyAlignment="1">
      <alignment horizontal="right"/>
    </xf>
    <xf numFmtId="0" fontId="28" fillId="9" borderId="0" xfId="0" applyFont="1" applyFill="1"/>
    <xf numFmtId="2" fontId="28" fillId="9" borderId="0" xfId="0" applyNumberFormat="1" applyFont="1" applyFill="1"/>
    <xf numFmtId="0" fontId="29" fillId="0" borderId="0" xfId="0" applyFont="1" applyFill="1"/>
    <xf numFmtId="0" fontId="29" fillId="5" borderId="0" xfId="0" applyFont="1" applyFill="1"/>
    <xf numFmtId="0" fontId="29" fillId="5" borderId="0" xfId="0" applyFont="1" applyFill="1" applyAlignment="1">
      <alignment horizontal="right"/>
    </xf>
    <xf numFmtId="0" fontId="28" fillId="5" borderId="0" xfId="0" applyFont="1" applyFill="1"/>
    <xf numFmtId="2" fontId="29" fillId="5" borderId="0" xfId="0" applyNumberFormat="1" applyFont="1" applyFill="1"/>
    <xf numFmtId="49" fontId="28" fillId="0" borderId="9" xfId="0" applyNumberFormat="1" applyFont="1" applyFill="1" applyBorder="1" applyAlignment="1">
      <alignment horizontal="center"/>
    </xf>
    <xf numFmtId="170" fontId="28" fillId="0" borderId="9" xfId="0" applyNumberFormat="1" applyFont="1" applyFill="1" applyBorder="1" applyAlignment="1">
      <alignment horizontal="right" vertical="center"/>
    </xf>
    <xf numFmtId="171" fontId="28" fillId="0" borderId="9" xfId="0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horizontal="left"/>
    </xf>
    <xf numFmtId="0" fontId="35" fillId="0" borderId="0" xfId="0" applyFont="1" applyFill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82016764033528"/>
          <c:y val="0.16666666666666666"/>
          <c:w val="0.78686083594389433"/>
          <c:h val="0.66800123942840539"/>
        </c:manualLayout>
      </c:layout>
      <c:scatterChart>
        <c:scatterStyle val="smooth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backward val="37"/>
            <c:dispRSqr val="1"/>
            <c:dispEq val="1"/>
            <c:trendlineLbl>
              <c:layout>
                <c:manualLayout>
                  <c:x val="0.11858907230504816"/>
                  <c:y val="0.2697816418780985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9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B_P!$E$4:$E$15</c:f>
              <c:numCache>
                <c:formatCode>0.0</c:formatCode>
                <c:ptCount val="12"/>
                <c:pt idx="0">
                  <c:v>36.999422339411552</c:v>
                </c:pt>
                <c:pt idx="1">
                  <c:v>70.298463196866138</c:v>
                </c:pt>
                <c:pt idx="2">
                  <c:v>92.787939486875473</c:v>
                </c:pt>
                <c:pt idx="3">
                  <c:v>111.4363222548409</c:v>
                </c:pt>
                <c:pt idx="4">
                  <c:v>127.54461672499816</c:v>
                </c:pt>
                <c:pt idx="5">
                  <c:v>141.82307198800629</c:v>
                </c:pt>
                <c:pt idx="6">
                  <c:v>154.70797330422812</c:v>
                </c:pt>
                <c:pt idx="7">
                  <c:v>166.48920872997317</c:v>
                </c:pt>
                <c:pt idx="8">
                  <c:v>177.3705349189878</c:v>
                </c:pt>
                <c:pt idx="9">
                  <c:v>187.50136500196058</c:v>
                </c:pt>
                <c:pt idx="10">
                  <c:v>196.99495014457062</c:v>
                </c:pt>
                <c:pt idx="11">
                  <c:v>205.93944681112652</c:v>
                </c:pt>
              </c:numCache>
            </c:numRef>
          </c:xVal>
          <c:yVal>
            <c:numRef>
              <c:f>B_P!$F$4:$F$15</c:f>
              <c:numCache>
                <c:formatCode>#,##0</c:formatCode>
                <c:ptCount val="12"/>
                <c:pt idx="0">
                  <c:v>1789</c:v>
                </c:pt>
                <c:pt idx="1">
                  <c:v>2065</c:v>
                </c:pt>
                <c:pt idx="2">
                  <c:v>2190</c:v>
                </c:pt>
                <c:pt idx="3">
                  <c:v>2290</c:v>
                </c:pt>
                <c:pt idx="4">
                  <c:v>2369</c:v>
                </c:pt>
                <c:pt idx="5">
                  <c:v>2425</c:v>
                </c:pt>
                <c:pt idx="6">
                  <c:v>2478</c:v>
                </c:pt>
                <c:pt idx="7">
                  <c:v>2529</c:v>
                </c:pt>
                <c:pt idx="8">
                  <c:v>2568</c:v>
                </c:pt>
                <c:pt idx="9">
                  <c:v>2597</c:v>
                </c:pt>
                <c:pt idx="10">
                  <c:v>2619</c:v>
                </c:pt>
                <c:pt idx="11">
                  <c:v>2643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2D-4ED8-BEBE-394404ED9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102336"/>
        <c:axId val="94676480"/>
      </c:scatterChart>
      <c:valAx>
        <c:axId val="167102336"/>
        <c:scaling>
          <c:orientation val="minMax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94676480"/>
        <c:crosses val="autoZero"/>
        <c:crossBetween val="midCat"/>
      </c:valAx>
      <c:valAx>
        <c:axId val="94676480"/>
        <c:scaling>
          <c:orientation val="minMax"/>
          <c:max val="3000"/>
          <c:min val="1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67102336"/>
        <c:crosses val="autoZero"/>
        <c:crossBetween val="midCat"/>
        <c:majorUnit val="250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2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Ledermann2!$O$65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Ledermann2!$O$66:$O$83</c:f>
              <c:numCache>
                <c:formatCode>0.00</c:formatCode>
                <c:ptCount val="18"/>
                <c:pt idx="0">
                  <c:v>3.11</c:v>
                </c:pt>
                <c:pt idx="1">
                  <c:v>0.60187182136439699</c:v>
                </c:pt>
                <c:pt idx="2">
                  <c:v>0.37137781168128381</c:v>
                </c:pt>
                <c:pt idx="3">
                  <c:v>0.41167965298416487</c:v>
                </c:pt>
                <c:pt idx="4">
                  <c:v>0.84378861086276125</c:v>
                </c:pt>
                <c:pt idx="5">
                  <c:v>1.1963766877456372</c:v>
                </c:pt>
                <c:pt idx="6">
                  <c:v>1.4192535330354028</c:v>
                </c:pt>
                <c:pt idx="7">
                  <c:v>1.8547078331165867</c:v>
                </c:pt>
                <c:pt idx="8">
                  <c:v>3.0497965119214987</c:v>
                </c:pt>
                <c:pt idx="9">
                  <c:v>5.125555859442299</c:v>
                </c:pt>
                <c:pt idx="10">
                  <c:v>8.5933920480578685</c:v>
                </c:pt>
                <c:pt idx="11">
                  <c:v>13.227757751281155</c:v>
                </c:pt>
                <c:pt idx="12">
                  <c:v>18.45279602010763</c:v>
                </c:pt>
                <c:pt idx="13">
                  <c:v>24.854204220125077</c:v>
                </c:pt>
                <c:pt idx="14">
                  <c:v>35.208664071504693</c:v>
                </c:pt>
                <c:pt idx="15">
                  <c:v>53.399152465963382</c:v>
                </c:pt>
                <c:pt idx="16">
                  <c:v>94.594594594594625</c:v>
                </c:pt>
                <c:pt idx="17">
                  <c:v>181.62929844171217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E6-4F10-A0ED-6D9F8F05D747}"/>
            </c:ext>
          </c:extLst>
        </c:ser>
        <c:ser>
          <c:idx val="1"/>
          <c:order val="1"/>
          <c:tx>
            <c:strRef>
              <c:f>Ledermann2!$P$65</c:f>
              <c:strCache>
                <c:ptCount val="1"/>
                <c:pt idx="0">
                  <c:v>ajustés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Ledermann2!$P$66:$P$83</c:f>
              <c:numCache>
                <c:formatCode>0.00</c:formatCode>
                <c:ptCount val="18"/>
                <c:pt idx="0">
                  <c:v>3.488602729562118</c:v>
                </c:pt>
                <c:pt idx="1">
                  <c:v>0.23886115826656826</c:v>
                </c:pt>
                <c:pt idx="2">
                  <c:v>0.25216009398065364</c:v>
                </c:pt>
                <c:pt idx="3">
                  <c:v>0.35955079227556108</c:v>
                </c:pt>
                <c:pt idx="4">
                  <c:v>0.87459703859431071</c:v>
                </c:pt>
                <c:pt idx="5">
                  <c:v>1.3774468442762289</c:v>
                </c:pt>
                <c:pt idx="6">
                  <c:v>1.7404854089994652</c:v>
                </c:pt>
                <c:pt idx="7">
                  <c:v>2.0926489167515641</c:v>
                </c:pt>
                <c:pt idx="8">
                  <c:v>2.8987222273061515</c:v>
                </c:pt>
                <c:pt idx="9">
                  <c:v>4.7083372948547444</c:v>
                </c:pt>
                <c:pt idx="10">
                  <c:v>8.8801349281690456</c:v>
                </c:pt>
                <c:pt idx="11">
                  <c:v>15.134312185632115</c:v>
                </c:pt>
                <c:pt idx="12">
                  <c:v>23.770262023408602</c:v>
                </c:pt>
                <c:pt idx="13">
                  <c:v>39.480735111313905</c:v>
                </c:pt>
                <c:pt idx="14">
                  <c:v>68.450228836510604</c:v>
                </c:pt>
                <c:pt idx="15">
                  <c:v>122.53054611534672</c:v>
                </c:pt>
                <c:pt idx="16">
                  <c:v>221.95283490937805</c:v>
                </c:pt>
                <c:pt idx="17">
                  <c:v>378.09131811360891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E6-4F10-A0ED-6D9F8F05D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7673776"/>
        <c:axId val="-1067676496"/>
      </c:scatterChart>
      <c:valAx>
        <c:axId val="-1067673776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7676496"/>
        <c:crossesAt val="0.1"/>
        <c:crossBetween val="midCat"/>
        <c:majorUnit val="10"/>
      </c:valAx>
      <c:valAx>
        <c:axId val="-1067676496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767377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655514250309755"/>
          <c:y val="0.20794947506561695"/>
          <c:w val="0.22328079110928978"/>
          <c:h val="0.2044714202391367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2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Ledermann2!$M$120</c:f>
              <c:strCache>
                <c:ptCount val="1"/>
                <c:pt idx="0">
                  <c:v>Ledermann 1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Ledermann2!$L$121:$L$138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Ledermann2!$M$121:$M$138</c:f>
              <c:numCache>
                <c:formatCode>0.00</c:formatCode>
                <c:ptCount val="18"/>
                <c:pt idx="0">
                  <c:v>13.260937901608639</c:v>
                </c:pt>
                <c:pt idx="1">
                  <c:v>1.1358673630324048</c:v>
                </c:pt>
                <c:pt idx="2">
                  <c:v>0.88520878127779246</c:v>
                </c:pt>
                <c:pt idx="3">
                  <c:v>0.97957714436157894</c:v>
                </c:pt>
                <c:pt idx="4">
                  <c:v>2.1147847267220143</c:v>
                </c:pt>
                <c:pt idx="5">
                  <c:v>2.8460441007199107</c:v>
                </c:pt>
                <c:pt idx="6">
                  <c:v>2.8442199672980908</c:v>
                </c:pt>
                <c:pt idx="7">
                  <c:v>3.2543745603249166</c:v>
                </c:pt>
                <c:pt idx="8">
                  <c:v>4.2294498501373186</c:v>
                </c:pt>
                <c:pt idx="9">
                  <c:v>6.9345224727214365</c:v>
                </c:pt>
                <c:pt idx="10">
                  <c:v>12.762883417241436</c:v>
                </c:pt>
                <c:pt idx="11">
                  <c:v>22.573242606899814</c:v>
                </c:pt>
                <c:pt idx="12">
                  <c:v>38.218737562266696</c:v>
                </c:pt>
                <c:pt idx="13">
                  <c:v>65.772957191810065</c:v>
                </c:pt>
                <c:pt idx="14">
                  <c:v>113.84894333304437</c:v>
                </c:pt>
                <c:pt idx="15">
                  <c:v>180.1986354357347</c:v>
                </c:pt>
                <c:pt idx="16">
                  <c:v>298.63526220945806</c:v>
                </c:pt>
                <c:pt idx="17">
                  <c:v>481.18308038510634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32-492E-80B1-4272ACEE5AD0}"/>
            </c:ext>
          </c:extLst>
        </c:ser>
        <c:ser>
          <c:idx val="1"/>
          <c:order val="1"/>
          <c:tx>
            <c:strRef>
              <c:f>Ledermann2!$N$120</c:f>
              <c:strCache>
                <c:ptCount val="1"/>
                <c:pt idx="0">
                  <c:v>Ledermann 2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Ledermann2!$L$121:$L$138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Ledermann2!$N$121:$N$138</c:f>
              <c:numCache>
                <c:formatCode>0.00</c:formatCode>
                <c:ptCount val="18"/>
                <c:pt idx="0">
                  <c:v>5.387791200826765</c:v>
                </c:pt>
                <c:pt idx="1">
                  <c:v>0.33730980850248593</c:v>
                </c:pt>
                <c:pt idx="2">
                  <c:v>0.47124966757910641</c:v>
                </c:pt>
                <c:pt idx="3">
                  <c:v>0.67578314697889874</c:v>
                </c:pt>
                <c:pt idx="4">
                  <c:v>1.8260212803835745</c:v>
                </c:pt>
                <c:pt idx="5">
                  <c:v>2.5169850141602255</c:v>
                </c:pt>
                <c:pt idx="6">
                  <c:v>2.6657507065011328</c:v>
                </c:pt>
                <c:pt idx="7">
                  <c:v>2.9884893742718801</c:v>
                </c:pt>
                <c:pt idx="8">
                  <c:v>4.0303649847952068</c:v>
                </c:pt>
                <c:pt idx="9">
                  <c:v>6.3831319396948834</c:v>
                </c:pt>
                <c:pt idx="10">
                  <c:v>11.903752079954375</c:v>
                </c:pt>
                <c:pt idx="11">
                  <c:v>21.574232833585917</c:v>
                </c:pt>
                <c:pt idx="12">
                  <c:v>37.817165442221857</c:v>
                </c:pt>
                <c:pt idx="13">
                  <c:v>64.652352733082566</c:v>
                </c:pt>
                <c:pt idx="14">
                  <c:v>105.47894148273329</c:v>
                </c:pt>
                <c:pt idx="15">
                  <c:v>168.78429295581017</c:v>
                </c:pt>
                <c:pt idx="16">
                  <c:v>278.42887287536144</c:v>
                </c:pt>
                <c:pt idx="17">
                  <c:v>441.7283575622086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32-492E-80B1-4272ACEE5AD0}"/>
            </c:ext>
          </c:extLst>
        </c:ser>
        <c:ser>
          <c:idx val="2"/>
          <c:order val="2"/>
          <c:tx>
            <c:strRef>
              <c:f>Ledermann2!$O$120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Ledermann2!$L$121:$L$138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Ledermann2!$O$121:$O$138</c:f>
              <c:numCache>
                <c:formatCode>0.00</c:formatCode>
                <c:ptCount val="18"/>
                <c:pt idx="0">
                  <c:v>3.72</c:v>
                </c:pt>
                <c:pt idx="1">
                  <c:v>0.72268840085121244</c:v>
                </c:pt>
                <c:pt idx="2">
                  <c:v>0.46205150869860212</c:v>
                </c:pt>
                <c:pt idx="3">
                  <c:v>0.53260978796099145</c:v>
                </c:pt>
                <c:pt idx="4">
                  <c:v>2.0209738882129846</c:v>
                </c:pt>
                <c:pt idx="5">
                  <c:v>3.5363101474973346</c:v>
                </c:pt>
                <c:pt idx="6">
                  <c:v>4.1049491936706595</c:v>
                </c:pt>
                <c:pt idx="7">
                  <c:v>4.6700981735855462</c:v>
                </c:pt>
                <c:pt idx="8">
                  <c:v>6.5892144962719223</c:v>
                </c:pt>
                <c:pt idx="9">
                  <c:v>10.308749088743575</c:v>
                </c:pt>
                <c:pt idx="10">
                  <c:v>16.661652263225022</c:v>
                </c:pt>
                <c:pt idx="11">
                  <c:v>27.895297679963683</c:v>
                </c:pt>
                <c:pt idx="12">
                  <c:v>41.958345543146812</c:v>
                </c:pt>
                <c:pt idx="13">
                  <c:v>56.563162008768209</c:v>
                </c:pt>
                <c:pt idx="14">
                  <c:v>76.801152737752119</c:v>
                </c:pt>
                <c:pt idx="15">
                  <c:v>110.21799073929562</c:v>
                </c:pt>
                <c:pt idx="16">
                  <c:v>175.19368513375233</c:v>
                </c:pt>
                <c:pt idx="17">
                  <c:v>290.68675232609667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32-492E-80B1-4272ACEE5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120416"/>
        <c:axId val="-1068117696"/>
      </c:scatterChart>
      <c:valAx>
        <c:axId val="-1068120416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117696"/>
        <c:crossesAt val="0.1"/>
        <c:crossBetween val="midCat"/>
        <c:majorUnit val="10"/>
      </c:valAx>
      <c:valAx>
        <c:axId val="-1068117696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12041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273234200743496"/>
          <c:y val="0.56906058617672783"/>
          <c:w val="0.28574969021065683"/>
          <c:h val="0.23698928258967636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17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Ledermann2!$S$120</c:f>
              <c:strCache>
                <c:ptCount val="1"/>
                <c:pt idx="0">
                  <c:v>Ledermann 1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Ledermann2!$R$121:$R$138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Ledermann2!$S$121:$S$138</c:f>
              <c:numCache>
                <c:formatCode>0.00</c:formatCode>
                <c:ptCount val="18"/>
                <c:pt idx="0">
                  <c:v>9.397689309538455</c:v>
                </c:pt>
                <c:pt idx="1">
                  <c:v>0.85287166819828963</c:v>
                </c:pt>
                <c:pt idx="2">
                  <c:v>0.49739062119942573</c:v>
                </c:pt>
                <c:pt idx="3">
                  <c:v>0.50797950984875451</c:v>
                </c:pt>
                <c:pt idx="4">
                  <c:v>0.99474012764581188</c:v>
                </c:pt>
                <c:pt idx="5">
                  <c:v>1.4418660959600234</c:v>
                </c:pt>
                <c:pt idx="6">
                  <c:v>1.7706985985217667</c:v>
                </c:pt>
                <c:pt idx="7">
                  <c:v>2.1426414259168745</c:v>
                </c:pt>
                <c:pt idx="8">
                  <c:v>3.0647984742901437</c:v>
                </c:pt>
                <c:pt idx="9">
                  <c:v>4.6689031475384351</c:v>
                </c:pt>
                <c:pt idx="10">
                  <c:v>8.4474745900813346</c:v>
                </c:pt>
                <c:pt idx="11">
                  <c:v>14.268812580037451</c:v>
                </c:pt>
                <c:pt idx="12">
                  <c:v>23.140835429718368</c:v>
                </c:pt>
                <c:pt idx="13">
                  <c:v>40.820070990752804</c:v>
                </c:pt>
                <c:pt idx="14">
                  <c:v>72.768501760264712</c:v>
                </c:pt>
                <c:pt idx="15">
                  <c:v>137.89640073921726</c:v>
                </c:pt>
                <c:pt idx="16">
                  <c:v>249.24967251629243</c:v>
                </c:pt>
                <c:pt idx="17">
                  <c:v>419.33514051748978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FB-4168-813D-6795C9F901EB}"/>
            </c:ext>
          </c:extLst>
        </c:ser>
        <c:ser>
          <c:idx val="1"/>
          <c:order val="1"/>
          <c:tx>
            <c:strRef>
              <c:f>Ledermann2!$T$120</c:f>
              <c:strCache>
                <c:ptCount val="1"/>
                <c:pt idx="0">
                  <c:v>Ledermann 2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Ledermann2!$R$121:$R$138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Ledermann2!$T$121:$T$138</c:f>
              <c:numCache>
                <c:formatCode>0.00</c:formatCode>
                <c:ptCount val="18"/>
                <c:pt idx="0">
                  <c:v>3.488602729562118</c:v>
                </c:pt>
                <c:pt idx="1">
                  <c:v>0.23886115826656826</c:v>
                </c:pt>
                <c:pt idx="2">
                  <c:v>0.25216009398065364</c:v>
                </c:pt>
                <c:pt idx="3">
                  <c:v>0.35955079227556108</c:v>
                </c:pt>
                <c:pt idx="4">
                  <c:v>0.87459703859431071</c:v>
                </c:pt>
                <c:pt idx="5">
                  <c:v>1.3774468442762289</c:v>
                </c:pt>
                <c:pt idx="6">
                  <c:v>1.7404854089994652</c:v>
                </c:pt>
                <c:pt idx="7">
                  <c:v>2.0926489167515641</c:v>
                </c:pt>
                <c:pt idx="8">
                  <c:v>2.8987222273061515</c:v>
                </c:pt>
                <c:pt idx="9">
                  <c:v>4.7083372948547444</c:v>
                </c:pt>
                <c:pt idx="10">
                  <c:v>8.8801349281690456</c:v>
                </c:pt>
                <c:pt idx="11">
                  <c:v>15.134312185632115</c:v>
                </c:pt>
                <c:pt idx="12">
                  <c:v>23.770262023408602</c:v>
                </c:pt>
                <c:pt idx="13">
                  <c:v>39.480735111313905</c:v>
                </c:pt>
                <c:pt idx="14">
                  <c:v>68.450228836510604</c:v>
                </c:pt>
                <c:pt idx="15">
                  <c:v>122.53054611534672</c:v>
                </c:pt>
                <c:pt idx="16">
                  <c:v>221.95283490937805</c:v>
                </c:pt>
                <c:pt idx="17">
                  <c:v>378.09131811360891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FB-4168-813D-6795C9F901EB}"/>
            </c:ext>
          </c:extLst>
        </c:ser>
        <c:ser>
          <c:idx val="2"/>
          <c:order val="2"/>
          <c:tx>
            <c:strRef>
              <c:f>Ledermann2!$U$120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Ledermann2!$R$121:$R$138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Ledermann2!$U$121:$U$138</c:f>
              <c:numCache>
                <c:formatCode>0.00</c:formatCode>
                <c:ptCount val="18"/>
                <c:pt idx="0">
                  <c:v>3.11</c:v>
                </c:pt>
                <c:pt idx="1">
                  <c:v>0.60187182136439699</c:v>
                </c:pt>
                <c:pt idx="2">
                  <c:v>0.37137781168128381</c:v>
                </c:pt>
                <c:pt idx="3">
                  <c:v>0.41167965298416487</c:v>
                </c:pt>
                <c:pt idx="4">
                  <c:v>0.84378861086276125</c:v>
                </c:pt>
                <c:pt idx="5">
                  <c:v>1.1963766877456372</c:v>
                </c:pt>
                <c:pt idx="6">
                  <c:v>1.4192535330354028</c:v>
                </c:pt>
                <c:pt idx="7">
                  <c:v>1.8547078331165867</c:v>
                </c:pt>
                <c:pt idx="8">
                  <c:v>3.0497965119214987</c:v>
                </c:pt>
                <c:pt idx="9">
                  <c:v>5.125555859442299</c:v>
                </c:pt>
                <c:pt idx="10">
                  <c:v>8.5933920480578685</c:v>
                </c:pt>
                <c:pt idx="11">
                  <c:v>13.227757751281155</c:v>
                </c:pt>
                <c:pt idx="12">
                  <c:v>18.45279602010763</c:v>
                </c:pt>
                <c:pt idx="13">
                  <c:v>24.854204220125077</c:v>
                </c:pt>
                <c:pt idx="14">
                  <c:v>35.208664071504693</c:v>
                </c:pt>
                <c:pt idx="15">
                  <c:v>53.399152465963382</c:v>
                </c:pt>
                <c:pt idx="16">
                  <c:v>94.594594594594625</c:v>
                </c:pt>
                <c:pt idx="17">
                  <c:v>181.62929844171217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FB-4168-813D-6795C9F90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114432"/>
        <c:axId val="-1068116064"/>
      </c:scatterChart>
      <c:valAx>
        <c:axId val="-1068114432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116064"/>
        <c:crossesAt val="0.1"/>
        <c:crossBetween val="midCat"/>
        <c:majorUnit val="10"/>
      </c:valAx>
      <c:valAx>
        <c:axId val="-1068116064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114432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273234200743496"/>
          <c:y val="0.56906058617672761"/>
          <c:w val="0.28574969021065688"/>
          <c:h val="0.2369892825896764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30183727034167E-2"/>
          <c:y val="7.6505317056498157E-2"/>
          <c:w val="0.87333770778652664"/>
          <c:h val="0.81214442789245944"/>
        </c:manualLayout>
      </c:layout>
      <c:scatterChart>
        <c:scatterStyle val="smoothMarker"/>
        <c:varyColors val="0"/>
        <c:ser>
          <c:idx val="0"/>
          <c:order val="0"/>
          <c:tx>
            <c:v>observés</c:v>
          </c:tx>
          <c:spPr>
            <a:ln w="31750"/>
          </c:spPr>
          <c:marker>
            <c:symbol val="none"/>
          </c:marker>
          <c:xVal>
            <c:numRef>
              <c:f>Brass!$A$4:$A$24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Brass!$C$4:$C$24</c:f>
              <c:numCache>
                <c:formatCode>0.00000</c:formatCode>
                <c:ptCount val="21"/>
                <c:pt idx="0">
                  <c:v>0.99628000000000005</c:v>
                </c:pt>
                <c:pt idx="1">
                  <c:v>0.99556</c:v>
                </c:pt>
                <c:pt idx="2">
                  <c:v>0.99509999999999998</c:v>
                </c:pt>
                <c:pt idx="3">
                  <c:v>0.99456999999999995</c:v>
                </c:pt>
                <c:pt idx="4">
                  <c:v>0.99256</c:v>
                </c:pt>
                <c:pt idx="5">
                  <c:v>0.98904999999999998</c:v>
                </c:pt>
                <c:pt idx="6">
                  <c:v>0.98499000000000003</c:v>
                </c:pt>
                <c:pt idx="7">
                  <c:v>0.98038999999999998</c:v>
                </c:pt>
                <c:pt idx="8">
                  <c:v>0.97392999999999996</c:v>
                </c:pt>
                <c:pt idx="9">
                  <c:v>0.96389000000000002</c:v>
                </c:pt>
                <c:pt idx="10">
                  <c:v>0.94782999999999995</c:v>
                </c:pt>
                <c:pt idx="11">
                  <c:v>0.92139000000000004</c:v>
                </c:pt>
                <c:pt idx="12">
                  <c:v>0.88273000000000001</c:v>
                </c:pt>
                <c:pt idx="13">
                  <c:v>0.83279999999999998</c:v>
                </c:pt>
                <c:pt idx="14">
                  <c:v>0.76883999999999997</c:v>
                </c:pt>
                <c:pt idx="15">
                  <c:v>0.68410000000000004</c:v>
                </c:pt>
                <c:pt idx="16">
                  <c:v>0.56425000000000003</c:v>
                </c:pt>
                <c:pt idx="17">
                  <c:v>0.40022999999999997</c:v>
                </c:pt>
                <c:pt idx="18">
                  <c:v>0.21314</c:v>
                </c:pt>
                <c:pt idx="19">
                  <c:v>7.0360000000000006E-2</c:v>
                </c:pt>
                <c:pt idx="20">
                  <c:v>1.7059999999999999E-2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89-4E75-B162-5B9CE39FC9A5}"/>
            </c:ext>
          </c:extLst>
        </c:ser>
        <c:ser>
          <c:idx val="1"/>
          <c:order val="1"/>
          <c:tx>
            <c:v>standard de Brass</c:v>
          </c:tx>
          <c:marker>
            <c:symbol val="none"/>
          </c:marker>
          <c:xVal>
            <c:numRef>
              <c:f>Brass!$A$4:$A$24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Brass!$H$4:$H$24</c:f>
              <c:numCache>
                <c:formatCode>0.00000</c:formatCode>
                <c:ptCount val="21"/>
                <c:pt idx="0">
                  <c:v>0.99631670266535644</c:v>
                </c:pt>
                <c:pt idx="1">
                  <c:v>0.99253052600683078</c:v>
                </c:pt>
                <c:pt idx="2">
                  <c:v>0.9914279928217159</c:v>
                </c:pt>
                <c:pt idx="3">
                  <c:v>0.99055314174258935</c:v>
                </c:pt>
                <c:pt idx="4">
                  <c:v>0.98897653975031075</c:v>
                </c:pt>
                <c:pt idx="5">
                  <c:v>0.98665878135644414</c:v>
                </c:pt>
                <c:pt idx="6">
                  <c:v>0.98403935743892645</c:v>
                </c:pt>
                <c:pt idx="7">
                  <c:v>0.98104555520038683</c:v>
                </c:pt>
                <c:pt idx="8">
                  <c:v>0.97733746181984649</c:v>
                </c:pt>
                <c:pt idx="9">
                  <c:v>0.97249007938070731</c:v>
                </c:pt>
                <c:pt idx="10">
                  <c:v>0.96558879377455176</c:v>
                </c:pt>
                <c:pt idx="11">
                  <c:v>0.95498220153151026</c:v>
                </c:pt>
                <c:pt idx="12">
                  <c:v>0.93789997870178843</c:v>
                </c:pt>
                <c:pt idx="13">
                  <c:v>0.90669064001028332</c:v>
                </c:pt>
                <c:pt idx="14">
                  <c:v>0.84796463316391424</c:v>
                </c:pt>
                <c:pt idx="15">
                  <c:v>0.72187470355316641</c:v>
                </c:pt>
                <c:pt idx="16">
                  <c:v>0.48277765956594787</c:v>
                </c:pt>
                <c:pt idx="17">
                  <c:v>0.20852759137240026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89-4E75-B162-5B9CE39FC9A5}"/>
            </c:ext>
          </c:extLst>
        </c:ser>
        <c:ser>
          <c:idx val="2"/>
          <c:order val="2"/>
          <c:tx>
            <c:v>standard japonais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Brass!$A$4:$A$24</c:f>
              <c:numCache>
                <c:formatCode>General</c:formatCode>
                <c:ptCount val="21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Brass!$J$4:$J$24</c:f>
              <c:numCache>
                <c:formatCode>0.00000</c:formatCode>
                <c:ptCount val="21"/>
                <c:pt idx="0">
                  <c:v>0.99659101194630484</c:v>
                </c:pt>
                <c:pt idx="1">
                  <c:v>0.99538478618219317</c:v>
                </c:pt>
                <c:pt idx="2">
                  <c:v>0.99464047773963882</c:v>
                </c:pt>
                <c:pt idx="3">
                  <c:v>0.99392892271346145</c:v>
                </c:pt>
                <c:pt idx="4">
                  <c:v>0.99188526796613308</c:v>
                </c:pt>
                <c:pt idx="5">
                  <c:v>0.9880571488365022</c:v>
                </c:pt>
                <c:pt idx="6">
                  <c:v>0.98394750187832503</c:v>
                </c:pt>
                <c:pt idx="7">
                  <c:v>0.97956689348443693</c:v>
                </c:pt>
                <c:pt idx="8">
                  <c:v>0.97367627858157779</c:v>
                </c:pt>
                <c:pt idx="9">
                  <c:v>0.96478916831360706</c:v>
                </c:pt>
                <c:pt idx="10">
                  <c:v>0.9512383175640956</c:v>
                </c:pt>
                <c:pt idx="11">
                  <c:v>0.9302456182629435</c:v>
                </c:pt>
                <c:pt idx="12">
                  <c:v>0.89883975643179714</c:v>
                </c:pt>
                <c:pt idx="13">
                  <c:v>0.85071979660513486</c:v>
                </c:pt>
                <c:pt idx="14">
                  <c:v>0.78367355073252654</c:v>
                </c:pt>
                <c:pt idx="15">
                  <c:v>0.69279108506783027</c:v>
                </c:pt>
                <c:pt idx="16">
                  <c:v>0.56272143477102987</c:v>
                </c:pt>
                <c:pt idx="17">
                  <c:v>0.39001724243540103</c:v>
                </c:pt>
                <c:pt idx="18">
                  <c:v>0.20775428151966807</c:v>
                </c:pt>
                <c:pt idx="19">
                  <c:v>7.3921726032365714E-2</c:v>
                </c:pt>
                <c:pt idx="20">
                  <c:v>1.4350423386201681E-2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689-4E75-B162-5B9CE39FC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114976"/>
        <c:axId val="-1068121504"/>
      </c:scatterChart>
      <c:valAx>
        <c:axId val="-1068114976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121504"/>
        <c:crosses val="autoZero"/>
        <c:crossBetween val="midCat"/>
        <c:majorUnit val="10"/>
      </c:valAx>
      <c:valAx>
        <c:axId val="-1068121504"/>
        <c:scaling>
          <c:orientation val="minMax"/>
          <c:max val="1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11497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32970822397200356"/>
          <c:y val="0.47646799358413539"/>
          <c:w val="0.33333333333333331"/>
          <c:h val="0.2168135749232108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4733722800779"/>
          <c:y val="0.125"/>
          <c:w val="0.76646542011032759"/>
          <c:h val="0.74207531350247935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TMI!$I$3:$I$18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28</c:v>
                </c:pt>
                <c:pt idx="6" formatCode="0">
                  <c:v>61</c:v>
                </c:pt>
                <c:pt idx="7" formatCode="0">
                  <c:v>91.5</c:v>
                </c:pt>
                <c:pt idx="8" formatCode="0">
                  <c:v>122</c:v>
                </c:pt>
                <c:pt idx="9" formatCode="0">
                  <c:v>152.5</c:v>
                </c:pt>
                <c:pt idx="10" formatCode="0">
                  <c:v>183</c:v>
                </c:pt>
                <c:pt idx="11" formatCode="0">
                  <c:v>213.5</c:v>
                </c:pt>
                <c:pt idx="12" formatCode="0">
                  <c:v>244</c:v>
                </c:pt>
                <c:pt idx="13" formatCode="0">
                  <c:v>274.5</c:v>
                </c:pt>
                <c:pt idx="14" formatCode="0">
                  <c:v>305</c:v>
                </c:pt>
                <c:pt idx="15" formatCode="0">
                  <c:v>335.5</c:v>
                </c:pt>
              </c:numCache>
            </c:numRef>
          </c:xVal>
          <c:yVal>
            <c:numRef>
              <c:f>TMI!$G$3:$G$19</c:f>
              <c:numCache>
                <c:formatCode>#,##0</c:formatCode>
                <c:ptCount val="17"/>
                <c:pt idx="0">
                  <c:v>100000</c:v>
                </c:pt>
                <c:pt idx="1">
                  <c:v>99915.85367396778</c:v>
                </c:pt>
                <c:pt idx="2">
                  <c:v>99843.981323311687</c:v>
                </c:pt>
                <c:pt idx="3">
                  <c:v>99805.134823925386</c:v>
                </c:pt>
                <c:pt idx="4">
                  <c:v>99787.799415404457</c:v>
                </c:pt>
                <c:pt idx="5">
                  <c:v>99773.627402599028</c:v>
                </c:pt>
                <c:pt idx="6">
                  <c:v>99738.703513899949</c:v>
                </c:pt>
                <c:pt idx="7">
                  <c:v>99722.886535322468</c:v>
                </c:pt>
                <c:pt idx="8">
                  <c:v>99710.232952460487</c:v>
                </c:pt>
                <c:pt idx="9">
                  <c:v>99700.236621999517</c:v>
                </c:pt>
                <c:pt idx="10">
                  <c:v>99693.150615596809</c:v>
                </c:pt>
                <c:pt idx="11">
                  <c:v>99686.444216679956</c:v>
                </c:pt>
                <c:pt idx="12">
                  <c:v>99679.99088942034</c:v>
                </c:pt>
                <c:pt idx="13">
                  <c:v>99675.055992104171</c:v>
                </c:pt>
                <c:pt idx="14">
                  <c:v>99671.386453074199</c:v>
                </c:pt>
                <c:pt idx="15">
                  <c:v>99668.602664844555</c:v>
                </c:pt>
                <c:pt idx="16">
                  <c:v>99665.565804957674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0F-4B9E-B05D-957BECF86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296512"/>
        <c:axId val="-1068292160"/>
      </c:scatterChart>
      <c:valAx>
        <c:axId val="-106829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068292160"/>
        <c:crosses val="autoZero"/>
        <c:crossBetween val="midCat"/>
      </c:valAx>
      <c:valAx>
        <c:axId val="-1068292160"/>
        <c:scaling>
          <c:orientation val="minMax"/>
          <c:max val="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068296512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4733722800779"/>
          <c:y val="0.125"/>
          <c:w val="0.76646542011032759"/>
          <c:h val="0.74207531350247935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TMI!$I$3:$I$18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28</c:v>
                </c:pt>
                <c:pt idx="6" formatCode="0">
                  <c:v>61</c:v>
                </c:pt>
                <c:pt idx="7" formatCode="0">
                  <c:v>91.5</c:v>
                </c:pt>
                <c:pt idx="8" formatCode="0">
                  <c:v>122</c:v>
                </c:pt>
                <c:pt idx="9" formatCode="0">
                  <c:v>152.5</c:v>
                </c:pt>
                <c:pt idx="10" formatCode="0">
                  <c:v>183</c:v>
                </c:pt>
                <c:pt idx="11" formatCode="0">
                  <c:v>213.5</c:v>
                </c:pt>
                <c:pt idx="12" formatCode="0">
                  <c:v>244</c:v>
                </c:pt>
                <c:pt idx="13" formatCode="0">
                  <c:v>274.5</c:v>
                </c:pt>
                <c:pt idx="14" formatCode="0">
                  <c:v>305</c:v>
                </c:pt>
                <c:pt idx="15" formatCode="0">
                  <c:v>335.5</c:v>
                </c:pt>
              </c:numCache>
            </c:numRef>
          </c:xVal>
          <c:yVal>
            <c:numRef>
              <c:f>TMI!$J$3:$J$18</c:f>
              <c:numCache>
                <c:formatCode>0.000</c:formatCode>
                <c:ptCount val="16"/>
                <c:pt idx="0">
                  <c:v>84.146326032216024</c:v>
                </c:pt>
                <c:pt idx="1">
                  <c:v>11.978725109348046</c:v>
                </c:pt>
                <c:pt idx="2">
                  <c:v>5.5494999123287467</c:v>
                </c:pt>
                <c:pt idx="3">
                  <c:v>2.4764869315603852</c:v>
                </c:pt>
                <c:pt idx="4">
                  <c:v>2.0245732579179796</c:v>
                </c:pt>
                <c:pt idx="5">
                  <c:v>1.0582996575480346</c:v>
                </c:pt>
                <c:pt idx="6">
                  <c:v>0.51858946155685948</c:v>
                </c:pt>
                <c:pt idx="7">
                  <c:v>0.41487156924548751</c:v>
                </c:pt>
                <c:pt idx="8">
                  <c:v>0.32774853970393519</c:v>
                </c:pt>
                <c:pt idx="9">
                  <c:v>0.23232807877747302</c:v>
                </c:pt>
                <c:pt idx="10">
                  <c:v>0.21988193170010842</c:v>
                </c:pt>
                <c:pt idx="11">
                  <c:v>0.21158450031519871</c:v>
                </c:pt>
                <c:pt idx="12">
                  <c:v>0.16179991200574018</c:v>
                </c:pt>
                <c:pt idx="13">
                  <c:v>0.12031275508119142</c:v>
                </c:pt>
                <c:pt idx="14">
                  <c:v>9.1271745234007287E-2</c:v>
                </c:pt>
                <c:pt idx="15">
                  <c:v>9.6408250377046645E-2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42-4B15-85BB-A55014C7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290528"/>
        <c:axId val="-1068293792"/>
      </c:scatterChart>
      <c:valAx>
        <c:axId val="-10682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068293792"/>
        <c:crossesAt val="1.0000000000000005E-2"/>
        <c:crossBetween val="midCat"/>
      </c:valAx>
      <c:valAx>
        <c:axId val="-1068293792"/>
        <c:scaling>
          <c:logBase val="10"/>
          <c:orientation val="minMax"/>
          <c:max val="10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-1068290528"/>
        <c:crossesAt val="0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1301548471488"/>
          <c:y val="7.7948870719606683E-2"/>
          <c:w val="0.81437857282402792"/>
          <c:h val="0.8331484178368033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Ledermann1!$M$40</c:f>
              <c:strCache>
                <c:ptCount val="1"/>
                <c:pt idx="0">
                  <c:v>médiane</c:v>
                </c:pt>
              </c:strCache>
            </c:strRef>
          </c:tx>
          <c:spPr>
            <a:ln w="317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Ledermann1!$M$41:$M$58</c:f>
              <c:numCache>
                <c:formatCode>0.00</c:formatCode>
                <c:ptCount val="18"/>
                <c:pt idx="0">
                  <c:v>13.260937901608639</c:v>
                </c:pt>
                <c:pt idx="1">
                  <c:v>1.1358673630324048</c:v>
                </c:pt>
                <c:pt idx="2">
                  <c:v>0.88520878127779246</c:v>
                </c:pt>
                <c:pt idx="3">
                  <c:v>0.97957714436157894</c:v>
                </c:pt>
                <c:pt idx="4">
                  <c:v>2.1147847267220143</c:v>
                </c:pt>
                <c:pt idx="5">
                  <c:v>2.8460441007199107</c:v>
                </c:pt>
                <c:pt idx="6">
                  <c:v>2.8442199672980908</c:v>
                </c:pt>
                <c:pt idx="7">
                  <c:v>3.2543745603249166</c:v>
                </c:pt>
                <c:pt idx="8">
                  <c:v>4.2294498501373186</c:v>
                </c:pt>
                <c:pt idx="9">
                  <c:v>6.9345224727214365</c:v>
                </c:pt>
                <c:pt idx="10">
                  <c:v>12.762883417241436</c:v>
                </c:pt>
                <c:pt idx="11">
                  <c:v>22.573242606899814</c:v>
                </c:pt>
                <c:pt idx="12">
                  <c:v>38.218737562266696</c:v>
                </c:pt>
                <c:pt idx="13">
                  <c:v>65.772957191810065</c:v>
                </c:pt>
                <c:pt idx="14">
                  <c:v>113.84894333304437</c:v>
                </c:pt>
                <c:pt idx="15">
                  <c:v>180.1986354357347</c:v>
                </c:pt>
                <c:pt idx="16">
                  <c:v>298.63526220945806</c:v>
                </c:pt>
                <c:pt idx="17">
                  <c:v>481.18308038510634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6F-4519-B698-E9EEB25CA727}"/>
            </c:ext>
          </c:extLst>
        </c:ser>
        <c:ser>
          <c:idx val="1"/>
          <c:order val="1"/>
          <c:tx>
            <c:strRef>
              <c:f>Ledermann1!$N$40</c:f>
              <c:strCache>
                <c:ptCount val="1"/>
                <c:pt idx="0">
                  <c:v>+2s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Ledermann1!$N$41:$N$58</c:f>
              <c:numCache>
                <c:formatCode>0.00</c:formatCode>
                <c:ptCount val="18"/>
                <c:pt idx="0">
                  <c:v>23.39021648303649</c:v>
                </c:pt>
                <c:pt idx="1">
                  <c:v>2.5351731179434811</c:v>
                </c:pt>
                <c:pt idx="2">
                  <c:v>1.7286445985326893</c:v>
                </c:pt>
                <c:pt idx="3">
                  <c:v>1.5332700183828047</c:v>
                </c:pt>
                <c:pt idx="4">
                  <c:v>3.2752628952659055</c:v>
                </c:pt>
                <c:pt idx="5">
                  <c:v>4.6449562241028355</c:v>
                </c:pt>
                <c:pt idx="6">
                  <c:v>4.2827545088411201</c:v>
                </c:pt>
                <c:pt idx="7">
                  <c:v>4.6262333636638289</c:v>
                </c:pt>
                <c:pt idx="8">
                  <c:v>5.6804648884568518</c:v>
                </c:pt>
                <c:pt idx="9">
                  <c:v>9.5335919563394427</c:v>
                </c:pt>
                <c:pt idx="10">
                  <c:v>17.612005085276287</c:v>
                </c:pt>
                <c:pt idx="11">
                  <c:v>31.248843513726552</c:v>
                </c:pt>
                <c:pt idx="12">
                  <c:v>53.598956838065625</c:v>
                </c:pt>
                <c:pt idx="13">
                  <c:v>89.54211915692494</c:v>
                </c:pt>
                <c:pt idx="14">
                  <c:v>151.3104783175655</c:v>
                </c:pt>
                <c:pt idx="15">
                  <c:v>230.26689134820074</c:v>
                </c:pt>
                <c:pt idx="16">
                  <c:v>378.21703611633762</c:v>
                </c:pt>
                <c:pt idx="17">
                  <c:v>600.88359602651349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6F-4519-B698-E9EEB25CA727}"/>
            </c:ext>
          </c:extLst>
        </c:ser>
        <c:ser>
          <c:idx val="2"/>
          <c:order val="2"/>
          <c:tx>
            <c:strRef>
              <c:f>Ledermann1!$O$40</c:f>
              <c:strCache>
                <c:ptCount val="1"/>
                <c:pt idx="0">
                  <c:v>-2s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Ledermann1!$O$41:$O$58</c:f>
              <c:numCache>
                <c:formatCode>0.00</c:formatCode>
                <c:ptCount val="18"/>
                <c:pt idx="0">
                  <c:v>7.5182063474211809</c:v>
                </c:pt>
                <c:pt idx="1">
                  <c:v>0.50891777656935244</c:v>
                </c:pt>
                <c:pt idx="2">
                  <c:v>0.45329999417835615</c:v>
                </c:pt>
                <c:pt idx="3">
                  <c:v>0.62583326501595615</c:v>
                </c:pt>
                <c:pt idx="4">
                  <c:v>1.3654825836548963</c:v>
                </c:pt>
                <c:pt idx="5">
                  <c:v>1.7438198838584538</c:v>
                </c:pt>
                <c:pt idx="6">
                  <c:v>1.8888748364346792</c:v>
                </c:pt>
                <c:pt idx="7">
                  <c:v>2.2893254503923899</c:v>
                </c:pt>
                <c:pt idx="8">
                  <c:v>3.1490813491650833</c:v>
                </c:pt>
                <c:pt idx="9">
                  <c:v>5.0440172124948539</c:v>
                </c:pt>
                <c:pt idx="10">
                  <c:v>9.248872705486221</c:v>
                </c:pt>
                <c:pt idx="11">
                  <c:v>16.306244471611528</c:v>
                </c:pt>
                <c:pt idx="12">
                  <c:v>27.251871809118043</c:v>
                </c:pt>
                <c:pt idx="13">
                  <c:v>48.313374068957472</c:v>
                </c:pt>
                <c:pt idx="14">
                  <c:v>85.662156660739669</c:v>
                </c:pt>
                <c:pt idx="15">
                  <c:v>141.01700866668941</c:v>
                </c:pt>
                <c:pt idx="16">
                  <c:v>235.79852655679849</c:v>
                </c:pt>
                <c:pt idx="17">
                  <c:v>385.32780455315196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6F-4519-B698-E9EEB25CA727}"/>
            </c:ext>
          </c:extLst>
        </c:ser>
        <c:ser>
          <c:idx val="4"/>
          <c:order val="3"/>
          <c:tx>
            <c:strRef>
              <c:f>Ledermann1!$Q$40</c:f>
              <c:strCache>
                <c:ptCount val="1"/>
                <c:pt idx="0">
                  <c:v>médiane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Ledermann1!$Q$41:$Q$58</c:f>
              <c:numCache>
                <c:formatCode>0.00</c:formatCode>
                <c:ptCount val="18"/>
                <c:pt idx="0">
                  <c:v>9.397689309538455</c:v>
                </c:pt>
                <c:pt idx="1">
                  <c:v>0.85287166819828963</c:v>
                </c:pt>
                <c:pt idx="2">
                  <c:v>0.49739062119942573</c:v>
                </c:pt>
                <c:pt idx="3">
                  <c:v>0.50797950984875451</c:v>
                </c:pt>
                <c:pt idx="4">
                  <c:v>0.99474012764581188</c:v>
                </c:pt>
                <c:pt idx="5">
                  <c:v>1.4418660959600234</c:v>
                </c:pt>
                <c:pt idx="6">
                  <c:v>1.7706985985217667</c:v>
                </c:pt>
                <c:pt idx="7">
                  <c:v>2.1426414259168745</c:v>
                </c:pt>
                <c:pt idx="8">
                  <c:v>3.0647984742901437</c:v>
                </c:pt>
                <c:pt idx="9">
                  <c:v>4.6689031475384351</c:v>
                </c:pt>
                <c:pt idx="10">
                  <c:v>8.4474745900813346</c:v>
                </c:pt>
                <c:pt idx="11">
                  <c:v>14.268812580037451</c:v>
                </c:pt>
                <c:pt idx="12">
                  <c:v>23.140835429718368</c:v>
                </c:pt>
                <c:pt idx="13">
                  <c:v>40.820070990752804</c:v>
                </c:pt>
                <c:pt idx="14">
                  <c:v>72.768501760264712</c:v>
                </c:pt>
                <c:pt idx="15">
                  <c:v>137.89640073921726</c:v>
                </c:pt>
                <c:pt idx="16">
                  <c:v>249.24967251629243</c:v>
                </c:pt>
                <c:pt idx="17">
                  <c:v>419.33514051748978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06F-4519-B698-E9EEB25CA727}"/>
            </c:ext>
          </c:extLst>
        </c:ser>
        <c:ser>
          <c:idx val="5"/>
          <c:order val="4"/>
          <c:tx>
            <c:strRef>
              <c:f>Ledermann1!$R$40</c:f>
              <c:strCache>
                <c:ptCount val="1"/>
                <c:pt idx="0">
                  <c:v>+2s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Ledermann1!$R$41:$R$58</c:f>
              <c:numCache>
                <c:formatCode>0.00</c:formatCode>
                <c:ptCount val="18"/>
                <c:pt idx="0">
                  <c:v>17.232214146783829</c:v>
                </c:pt>
                <c:pt idx="1">
                  <c:v>2.0006157693061759</c:v>
                </c:pt>
                <c:pt idx="2">
                  <c:v>0.90702152145144288</c:v>
                </c:pt>
                <c:pt idx="3">
                  <c:v>0.83769552356420629</c:v>
                </c:pt>
                <c:pt idx="4">
                  <c:v>1.5499926460415474</c:v>
                </c:pt>
                <c:pt idx="5">
                  <c:v>2.1503290889373639</c:v>
                </c:pt>
                <c:pt idx="6">
                  <c:v>2.351823055519576</c:v>
                </c:pt>
                <c:pt idx="7">
                  <c:v>2.5431354825816528</c:v>
                </c:pt>
                <c:pt idx="8">
                  <c:v>3.3775510569023774</c:v>
                </c:pt>
                <c:pt idx="9">
                  <c:v>4.9309984379108895</c:v>
                </c:pt>
                <c:pt idx="10">
                  <c:v>9.7702773912527849</c:v>
                </c:pt>
                <c:pt idx="11">
                  <c:v>17.266639970720938</c:v>
                </c:pt>
                <c:pt idx="12">
                  <c:v>29.350738546647079</c:v>
                </c:pt>
                <c:pt idx="13">
                  <c:v>51.927062535956175</c:v>
                </c:pt>
                <c:pt idx="14">
                  <c:v>94.228750713116739</c:v>
                </c:pt>
                <c:pt idx="15">
                  <c:v>175.83807908272013</c:v>
                </c:pt>
                <c:pt idx="16">
                  <c:v>316.38406111977116</c:v>
                </c:pt>
                <c:pt idx="17">
                  <c:v>529.00680418349907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06F-4519-B698-E9EEB25CA727}"/>
            </c:ext>
          </c:extLst>
        </c:ser>
        <c:ser>
          <c:idx val="6"/>
          <c:order val="5"/>
          <c:tx>
            <c:strRef>
              <c:f>Ledermann1!$S$40</c:f>
              <c:strCache>
                <c:ptCount val="1"/>
                <c:pt idx="0">
                  <c:v>-2s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xVal>
            <c:numRef>
              <c:f>Ledermann1!$L$41:$L$58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Ledermann1!$S$41:$S$58</c:f>
              <c:numCache>
                <c:formatCode>0.00</c:formatCode>
                <c:ptCount val="18"/>
                <c:pt idx="0">
                  <c:v>5.1250851229176817</c:v>
                </c:pt>
                <c:pt idx="1">
                  <c:v>0.36358309955119278</c:v>
                </c:pt>
                <c:pt idx="2">
                  <c:v>0.27275805943530179</c:v>
                </c:pt>
                <c:pt idx="3">
                  <c:v>0.30803934743290162</c:v>
                </c:pt>
                <c:pt idx="4">
                  <c:v>0.63839523631022599</c:v>
                </c:pt>
                <c:pt idx="5">
                  <c:v>0.96681845089412599</c:v>
                </c:pt>
                <c:pt idx="6">
                  <c:v>1.3331672718525447</c:v>
                </c:pt>
                <c:pt idx="7">
                  <c:v>1.8052173435111896</c:v>
                </c:pt>
                <c:pt idx="8">
                  <c:v>2.7810059802991405</c:v>
                </c:pt>
                <c:pt idx="9">
                  <c:v>4.4207388981306837</c:v>
                </c:pt>
                <c:pt idx="10">
                  <c:v>7.3037667296895217</c:v>
                </c:pt>
                <c:pt idx="11">
                  <c:v>11.791466827910826</c:v>
                </c:pt>
                <c:pt idx="12">
                  <c:v>18.244796925100964</c:v>
                </c:pt>
                <c:pt idx="13">
                  <c:v>32.088820632522925</c:v>
                </c:pt>
                <c:pt idx="14">
                  <c:v>56.195745017943331</c:v>
                </c:pt>
                <c:pt idx="15">
                  <c:v>108.14163482692112</c:v>
                </c:pt>
                <c:pt idx="16">
                  <c:v>196.36071118627143</c:v>
                </c:pt>
                <c:pt idx="17">
                  <c:v>332.40018593754758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06F-4519-B698-E9EEB25CA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017728"/>
        <c:axId val="-1068023168"/>
      </c:scatterChart>
      <c:valAx>
        <c:axId val="-1068017728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023168"/>
        <c:crossesAt val="0.1"/>
        <c:crossBetween val="midCat"/>
      </c:valAx>
      <c:valAx>
        <c:axId val="-1068023168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0177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53469514732988499"/>
          <c:y val="0.64909161354350264"/>
          <c:w val="0.36282373077151758"/>
          <c:h val="0.2260522055759448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34"/>
          <c:y val="0.11921296296296298"/>
          <c:w val="0.82870698318843972"/>
          <c:h val="0.7463579031787693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Ledermann1!$M$65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Ledermann1!$M$66:$M$83</c:f>
              <c:numCache>
                <c:formatCode>0.00</c:formatCode>
                <c:ptCount val="18"/>
                <c:pt idx="0">
                  <c:v>3.72</c:v>
                </c:pt>
                <c:pt idx="1">
                  <c:v>0.72268840085121244</c:v>
                </c:pt>
                <c:pt idx="2">
                  <c:v>0.46205150869860212</c:v>
                </c:pt>
                <c:pt idx="3">
                  <c:v>0.53260978796099145</c:v>
                </c:pt>
                <c:pt idx="4">
                  <c:v>2.0209738882129846</c:v>
                </c:pt>
                <c:pt idx="5">
                  <c:v>3.5363101474973346</c:v>
                </c:pt>
                <c:pt idx="6">
                  <c:v>4.1049491936706595</c:v>
                </c:pt>
                <c:pt idx="7">
                  <c:v>4.6700981735855462</c:v>
                </c:pt>
                <c:pt idx="8">
                  <c:v>6.5892144962719223</c:v>
                </c:pt>
                <c:pt idx="9">
                  <c:v>10.308749088743575</c:v>
                </c:pt>
                <c:pt idx="10">
                  <c:v>16.661652263225022</c:v>
                </c:pt>
                <c:pt idx="11">
                  <c:v>27.895297679963683</c:v>
                </c:pt>
                <c:pt idx="12">
                  <c:v>41.958345543146812</c:v>
                </c:pt>
                <c:pt idx="13">
                  <c:v>56.563162008768209</c:v>
                </c:pt>
                <c:pt idx="14">
                  <c:v>76.801152737752119</c:v>
                </c:pt>
                <c:pt idx="15">
                  <c:v>110.21799073929562</c:v>
                </c:pt>
                <c:pt idx="16">
                  <c:v>175.19368513375233</c:v>
                </c:pt>
                <c:pt idx="17">
                  <c:v>290.68675232609667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2B-4A79-8F05-64D49B5DD052}"/>
            </c:ext>
          </c:extLst>
        </c:ser>
        <c:ser>
          <c:idx val="1"/>
          <c:order val="1"/>
          <c:tx>
            <c:strRef>
              <c:f>Ledermann1!$N$65</c:f>
              <c:strCache>
                <c:ptCount val="1"/>
                <c:pt idx="0">
                  <c:v>ajustés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Ledermann1!$N$66:$N$83</c:f>
              <c:numCache>
                <c:formatCode>0.00</c:formatCode>
                <c:ptCount val="18"/>
                <c:pt idx="0">
                  <c:v>13.260937901608639</c:v>
                </c:pt>
                <c:pt idx="1">
                  <c:v>1.1358673630324048</c:v>
                </c:pt>
                <c:pt idx="2">
                  <c:v>0.88520878127779246</c:v>
                </c:pt>
                <c:pt idx="3">
                  <c:v>0.97957714436157894</c:v>
                </c:pt>
                <c:pt idx="4">
                  <c:v>2.1147847267220143</c:v>
                </c:pt>
                <c:pt idx="5">
                  <c:v>2.8460441007199107</c:v>
                </c:pt>
                <c:pt idx="6">
                  <c:v>2.8442199672980908</c:v>
                </c:pt>
                <c:pt idx="7">
                  <c:v>3.2543745603249166</c:v>
                </c:pt>
                <c:pt idx="8">
                  <c:v>4.2294498501373186</c:v>
                </c:pt>
                <c:pt idx="9">
                  <c:v>6.9345224727214365</c:v>
                </c:pt>
                <c:pt idx="10">
                  <c:v>12.762883417241436</c:v>
                </c:pt>
                <c:pt idx="11">
                  <c:v>22.573242606899814</c:v>
                </c:pt>
                <c:pt idx="12">
                  <c:v>38.218737562266696</c:v>
                </c:pt>
                <c:pt idx="13">
                  <c:v>65.772957191810065</c:v>
                </c:pt>
                <c:pt idx="14">
                  <c:v>113.84894333304437</c:v>
                </c:pt>
                <c:pt idx="15">
                  <c:v>180.1986354357347</c:v>
                </c:pt>
                <c:pt idx="16">
                  <c:v>298.63526220945806</c:v>
                </c:pt>
                <c:pt idx="17">
                  <c:v>481.18308038510634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2B-4A79-8F05-64D49B5DD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017184"/>
        <c:axId val="-1068016096"/>
      </c:scatterChart>
      <c:valAx>
        <c:axId val="-1068017184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016096"/>
        <c:crossesAt val="0.1"/>
        <c:crossBetween val="midCat"/>
        <c:majorUnit val="10"/>
      </c:valAx>
      <c:valAx>
        <c:axId val="-1068016096"/>
        <c:scaling>
          <c:logBase val="10"/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017184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655514250309777"/>
          <c:y val="0.20794947506561681"/>
          <c:w val="0.22328079110928978"/>
          <c:h val="0.2044714202391367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8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Ledermann1!$O$65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Ledermann1!$O$66:$O$83</c:f>
              <c:numCache>
                <c:formatCode>0.00</c:formatCode>
                <c:ptCount val="18"/>
                <c:pt idx="0">
                  <c:v>3.11</c:v>
                </c:pt>
                <c:pt idx="1">
                  <c:v>0.60187182136439699</c:v>
                </c:pt>
                <c:pt idx="2">
                  <c:v>0.37137781168128381</c:v>
                </c:pt>
                <c:pt idx="3">
                  <c:v>0.41167965298416487</c:v>
                </c:pt>
                <c:pt idx="4">
                  <c:v>0.84378861086276125</c:v>
                </c:pt>
                <c:pt idx="5">
                  <c:v>1.1963766877456372</c:v>
                </c:pt>
                <c:pt idx="6">
                  <c:v>1.4192535330354028</c:v>
                </c:pt>
                <c:pt idx="7">
                  <c:v>1.8547078331165867</c:v>
                </c:pt>
                <c:pt idx="8">
                  <c:v>3.0497965119214987</c:v>
                </c:pt>
                <c:pt idx="9">
                  <c:v>5.125555859442299</c:v>
                </c:pt>
                <c:pt idx="10">
                  <c:v>8.5933920480578685</c:v>
                </c:pt>
                <c:pt idx="11">
                  <c:v>13.227757751281155</c:v>
                </c:pt>
                <c:pt idx="12">
                  <c:v>18.45279602010763</c:v>
                </c:pt>
                <c:pt idx="13">
                  <c:v>24.854204220125077</c:v>
                </c:pt>
                <c:pt idx="14">
                  <c:v>35.208664071504693</c:v>
                </c:pt>
                <c:pt idx="15">
                  <c:v>53.399152465963382</c:v>
                </c:pt>
                <c:pt idx="16">
                  <c:v>94.594594594594625</c:v>
                </c:pt>
                <c:pt idx="17">
                  <c:v>181.62929844171217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E8-4F9A-ACE5-2F26881C98B2}"/>
            </c:ext>
          </c:extLst>
        </c:ser>
        <c:ser>
          <c:idx val="1"/>
          <c:order val="1"/>
          <c:tx>
            <c:strRef>
              <c:f>Ledermann1!$P$65</c:f>
              <c:strCache>
                <c:ptCount val="1"/>
                <c:pt idx="0">
                  <c:v>ajustés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Ledermann1!$P$66:$P$83</c:f>
              <c:numCache>
                <c:formatCode>0.00</c:formatCode>
                <c:ptCount val="18"/>
                <c:pt idx="0">
                  <c:v>9.397689309538455</c:v>
                </c:pt>
                <c:pt idx="1">
                  <c:v>0.85287166819828963</c:v>
                </c:pt>
                <c:pt idx="2">
                  <c:v>0.49739062119942573</c:v>
                </c:pt>
                <c:pt idx="3">
                  <c:v>0.50797950984875451</c:v>
                </c:pt>
                <c:pt idx="4">
                  <c:v>0.99474012764581188</c:v>
                </c:pt>
                <c:pt idx="5">
                  <c:v>1.4418660959600234</c:v>
                </c:pt>
                <c:pt idx="6">
                  <c:v>1.7706985985217667</c:v>
                </c:pt>
                <c:pt idx="7">
                  <c:v>2.1426414259168745</c:v>
                </c:pt>
                <c:pt idx="8">
                  <c:v>3.0647984742901437</c:v>
                </c:pt>
                <c:pt idx="9">
                  <c:v>4.6689031475384351</c:v>
                </c:pt>
                <c:pt idx="10">
                  <c:v>8.4474745900813346</c:v>
                </c:pt>
                <c:pt idx="11">
                  <c:v>14.268812580037451</c:v>
                </c:pt>
                <c:pt idx="12">
                  <c:v>23.140835429718368</c:v>
                </c:pt>
                <c:pt idx="13">
                  <c:v>40.820070990752804</c:v>
                </c:pt>
                <c:pt idx="14">
                  <c:v>72.768501760264712</c:v>
                </c:pt>
                <c:pt idx="15">
                  <c:v>137.89640073921726</c:v>
                </c:pt>
                <c:pt idx="16">
                  <c:v>249.24967251629243</c:v>
                </c:pt>
                <c:pt idx="17">
                  <c:v>419.33514051748978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E8-4F9A-ACE5-2F26881C9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020448"/>
        <c:axId val="-1068019904"/>
      </c:scatterChart>
      <c:valAx>
        <c:axId val="-1068020448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019904"/>
        <c:crossesAt val="0.1"/>
        <c:crossBetween val="midCat"/>
        <c:majorUnit val="10"/>
      </c:valAx>
      <c:valAx>
        <c:axId val="-1068019904"/>
        <c:scaling>
          <c:logBase val="10"/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020448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655514250309766"/>
          <c:y val="0.20794947506561687"/>
          <c:w val="0.22328079110928978"/>
          <c:h val="0.2044714202391367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8"/>
          <c:y val="8.1517687914212655E-2"/>
          <c:w val="0.82870698318843972"/>
          <c:h val="0.81636328173033279"/>
        </c:manualLayout>
      </c:layout>
      <c:scatterChart>
        <c:scatterStyle val="smoothMarker"/>
        <c:varyColors val="0"/>
        <c:ser>
          <c:idx val="0"/>
          <c:order val="0"/>
          <c:tx>
            <c:v>Hommes observés</c:v>
          </c:tx>
          <c:spPr>
            <a:ln w="31750"/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Ledermann1!$M$66:$M$83</c:f>
              <c:numCache>
                <c:formatCode>0.00</c:formatCode>
                <c:ptCount val="18"/>
                <c:pt idx="0">
                  <c:v>3.72</c:v>
                </c:pt>
                <c:pt idx="1">
                  <c:v>0.72268840085121244</c:v>
                </c:pt>
                <c:pt idx="2">
                  <c:v>0.46205150869860212</c:v>
                </c:pt>
                <c:pt idx="3">
                  <c:v>0.53260978796099145</c:v>
                </c:pt>
                <c:pt idx="4">
                  <c:v>2.0209738882129846</c:v>
                </c:pt>
                <c:pt idx="5">
                  <c:v>3.5363101474973346</c:v>
                </c:pt>
                <c:pt idx="6">
                  <c:v>4.1049491936706595</c:v>
                </c:pt>
                <c:pt idx="7">
                  <c:v>4.6700981735855462</c:v>
                </c:pt>
                <c:pt idx="8">
                  <c:v>6.5892144962719223</c:v>
                </c:pt>
                <c:pt idx="9">
                  <c:v>10.308749088743575</c:v>
                </c:pt>
                <c:pt idx="10">
                  <c:v>16.661652263225022</c:v>
                </c:pt>
                <c:pt idx="11">
                  <c:v>27.895297679963683</c:v>
                </c:pt>
                <c:pt idx="12">
                  <c:v>41.958345543146812</c:v>
                </c:pt>
                <c:pt idx="13">
                  <c:v>56.563162008768209</c:v>
                </c:pt>
                <c:pt idx="14">
                  <c:v>76.801152737752119</c:v>
                </c:pt>
                <c:pt idx="15">
                  <c:v>110.21799073929562</c:v>
                </c:pt>
                <c:pt idx="16">
                  <c:v>175.19368513375233</c:v>
                </c:pt>
                <c:pt idx="17">
                  <c:v>290.68675232609667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60-4C99-8309-5B48228A925B}"/>
            </c:ext>
          </c:extLst>
        </c:ser>
        <c:ser>
          <c:idx val="1"/>
          <c:order val="1"/>
          <c:tx>
            <c:v>Hommes ajustés</c:v>
          </c:tx>
          <c:spPr>
            <a:ln w="3175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Ledermann1!$N$66:$N$83</c:f>
              <c:numCache>
                <c:formatCode>0.00</c:formatCode>
                <c:ptCount val="18"/>
                <c:pt idx="0">
                  <c:v>13.260937901608639</c:v>
                </c:pt>
                <c:pt idx="1">
                  <c:v>1.1358673630324048</c:v>
                </c:pt>
                <c:pt idx="2">
                  <c:v>0.88520878127779246</c:v>
                </c:pt>
                <c:pt idx="3">
                  <c:v>0.97957714436157894</c:v>
                </c:pt>
                <c:pt idx="4">
                  <c:v>2.1147847267220143</c:v>
                </c:pt>
                <c:pt idx="5">
                  <c:v>2.8460441007199107</c:v>
                </c:pt>
                <c:pt idx="6">
                  <c:v>2.8442199672980908</c:v>
                </c:pt>
                <c:pt idx="7">
                  <c:v>3.2543745603249166</c:v>
                </c:pt>
                <c:pt idx="8">
                  <c:v>4.2294498501373186</c:v>
                </c:pt>
                <c:pt idx="9">
                  <c:v>6.9345224727214365</c:v>
                </c:pt>
                <c:pt idx="10">
                  <c:v>12.762883417241436</c:v>
                </c:pt>
                <c:pt idx="11">
                  <c:v>22.573242606899814</c:v>
                </c:pt>
                <c:pt idx="12">
                  <c:v>38.218737562266696</c:v>
                </c:pt>
                <c:pt idx="13">
                  <c:v>65.772957191810065</c:v>
                </c:pt>
                <c:pt idx="14">
                  <c:v>113.84894333304437</c:v>
                </c:pt>
                <c:pt idx="15">
                  <c:v>180.1986354357347</c:v>
                </c:pt>
                <c:pt idx="16">
                  <c:v>298.63526220945806</c:v>
                </c:pt>
                <c:pt idx="17">
                  <c:v>481.18308038510634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60-4C99-8309-5B48228A925B}"/>
            </c:ext>
          </c:extLst>
        </c:ser>
        <c:ser>
          <c:idx val="2"/>
          <c:order val="2"/>
          <c:tx>
            <c:v>Femmes observées</c:v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Ledermann1!$O$66:$O$83</c:f>
              <c:numCache>
                <c:formatCode>0.00</c:formatCode>
                <c:ptCount val="18"/>
                <c:pt idx="0">
                  <c:v>3.11</c:v>
                </c:pt>
                <c:pt idx="1">
                  <c:v>0.60187182136439699</c:v>
                </c:pt>
                <c:pt idx="2">
                  <c:v>0.37137781168128381</c:v>
                </c:pt>
                <c:pt idx="3">
                  <c:v>0.41167965298416487</c:v>
                </c:pt>
                <c:pt idx="4">
                  <c:v>0.84378861086276125</c:v>
                </c:pt>
                <c:pt idx="5">
                  <c:v>1.1963766877456372</c:v>
                </c:pt>
                <c:pt idx="6">
                  <c:v>1.4192535330354028</c:v>
                </c:pt>
                <c:pt idx="7">
                  <c:v>1.8547078331165867</c:v>
                </c:pt>
                <c:pt idx="8">
                  <c:v>3.0497965119214987</c:v>
                </c:pt>
                <c:pt idx="9">
                  <c:v>5.125555859442299</c:v>
                </c:pt>
                <c:pt idx="10">
                  <c:v>8.5933920480578685</c:v>
                </c:pt>
                <c:pt idx="11">
                  <c:v>13.227757751281155</c:v>
                </c:pt>
                <c:pt idx="12">
                  <c:v>18.45279602010763</c:v>
                </c:pt>
                <c:pt idx="13">
                  <c:v>24.854204220125077</c:v>
                </c:pt>
                <c:pt idx="14">
                  <c:v>35.208664071504693</c:v>
                </c:pt>
                <c:pt idx="15">
                  <c:v>53.399152465963382</c:v>
                </c:pt>
                <c:pt idx="16">
                  <c:v>94.594594594594625</c:v>
                </c:pt>
                <c:pt idx="17">
                  <c:v>181.62929844171217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60-4C99-8309-5B48228A925B}"/>
            </c:ext>
          </c:extLst>
        </c:ser>
        <c:ser>
          <c:idx val="3"/>
          <c:order val="3"/>
          <c:tx>
            <c:v>Femmes ajustées</c:v>
          </c:tx>
          <c:spPr>
            <a:ln w="31750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Ledermann1!$L$66:$L$83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Ledermann1!$P$66:$P$83</c:f>
              <c:numCache>
                <c:formatCode>0.00</c:formatCode>
                <c:ptCount val="18"/>
                <c:pt idx="0">
                  <c:v>9.397689309538455</c:v>
                </c:pt>
                <c:pt idx="1">
                  <c:v>0.85287166819828963</c:v>
                </c:pt>
                <c:pt idx="2">
                  <c:v>0.49739062119942573</c:v>
                </c:pt>
                <c:pt idx="3">
                  <c:v>0.50797950984875451</c:v>
                </c:pt>
                <c:pt idx="4">
                  <c:v>0.99474012764581188</c:v>
                </c:pt>
                <c:pt idx="5">
                  <c:v>1.4418660959600234</c:v>
                </c:pt>
                <c:pt idx="6">
                  <c:v>1.7706985985217667</c:v>
                </c:pt>
                <c:pt idx="7">
                  <c:v>2.1426414259168745</c:v>
                </c:pt>
                <c:pt idx="8">
                  <c:v>3.0647984742901437</c:v>
                </c:pt>
                <c:pt idx="9">
                  <c:v>4.6689031475384351</c:v>
                </c:pt>
                <c:pt idx="10">
                  <c:v>8.4474745900813346</c:v>
                </c:pt>
                <c:pt idx="11">
                  <c:v>14.268812580037451</c:v>
                </c:pt>
                <c:pt idx="12">
                  <c:v>23.140835429718368</c:v>
                </c:pt>
                <c:pt idx="13">
                  <c:v>40.820070990752804</c:v>
                </c:pt>
                <c:pt idx="14">
                  <c:v>72.768501760264712</c:v>
                </c:pt>
                <c:pt idx="15">
                  <c:v>137.89640073921726</c:v>
                </c:pt>
                <c:pt idx="16">
                  <c:v>249.24967251629243</c:v>
                </c:pt>
                <c:pt idx="17">
                  <c:v>419.33514051748978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C60-4C99-8309-5B48228A9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8018816"/>
        <c:axId val="-1068018272"/>
      </c:scatterChart>
      <c:valAx>
        <c:axId val="-1068018816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018272"/>
        <c:crossesAt val="0.1"/>
        <c:crossBetween val="midCat"/>
        <c:majorUnit val="10"/>
      </c:valAx>
      <c:valAx>
        <c:axId val="-1068018272"/>
        <c:scaling>
          <c:logBase val="10"/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801881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8432465923172242"/>
          <c:y val="0.13794410593667716"/>
          <c:w val="0.46304213135068162"/>
          <c:h val="0.1979155271180763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1301548471488"/>
          <c:y val="7.7948870719606683E-2"/>
          <c:w val="0.81437857282402792"/>
          <c:h val="0.833148417836803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Ledermann2!$M$40</c:f>
              <c:strCache>
                <c:ptCount val="1"/>
                <c:pt idx="0">
                  <c:v>Hommes médiane</c:v>
                </c:pt>
              </c:strCache>
            </c:strRef>
          </c:tx>
          <c:spPr>
            <a:ln w="317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Ledermann2!$M$41:$M$58</c:f>
              <c:numCache>
                <c:formatCode>0.00</c:formatCode>
                <c:ptCount val="18"/>
                <c:pt idx="0">
                  <c:v>5.387791200826765</c:v>
                </c:pt>
                <c:pt idx="1">
                  <c:v>0.33730980850248593</c:v>
                </c:pt>
                <c:pt idx="2">
                  <c:v>0.47124966757910641</c:v>
                </c:pt>
                <c:pt idx="3">
                  <c:v>0.67578314697889874</c:v>
                </c:pt>
                <c:pt idx="4">
                  <c:v>1.8260212803835745</c:v>
                </c:pt>
                <c:pt idx="5">
                  <c:v>2.5169850141602255</c:v>
                </c:pt>
                <c:pt idx="6">
                  <c:v>2.6657507065011328</c:v>
                </c:pt>
                <c:pt idx="7">
                  <c:v>2.9884893742718801</c:v>
                </c:pt>
                <c:pt idx="8">
                  <c:v>4.0303649847952068</c:v>
                </c:pt>
                <c:pt idx="9">
                  <c:v>6.3831319396948834</c:v>
                </c:pt>
                <c:pt idx="10">
                  <c:v>11.903752079954375</c:v>
                </c:pt>
                <c:pt idx="11">
                  <c:v>21.574232833585917</c:v>
                </c:pt>
                <c:pt idx="12">
                  <c:v>37.817165442221857</c:v>
                </c:pt>
                <c:pt idx="13">
                  <c:v>64.652352733082566</c:v>
                </c:pt>
                <c:pt idx="14">
                  <c:v>105.47894148273329</c:v>
                </c:pt>
                <c:pt idx="15">
                  <c:v>168.78429295581017</c:v>
                </c:pt>
                <c:pt idx="16">
                  <c:v>278.42887287536144</c:v>
                </c:pt>
                <c:pt idx="17">
                  <c:v>441.7283575622086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D0-4527-88A3-34718B7A7EC7}"/>
            </c:ext>
          </c:extLst>
        </c:ser>
        <c:ser>
          <c:idx val="1"/>
          <c:order val="1"/>
          <c:tx>
            <c:strRef>
              <c:f>Ledermann2!$N$40</c:f>
              <c:strCache>
                <c:ptCount val="1"/>
                <c:pt idx="0">
                  <c:v>+2s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ash"/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Ledermann2!$N$41:$N$58</c:f>
              <c:numCache>
                <c:formatCode>0.00</c:formatCode>
                <c:ptCount val="18"/>
                <c:pt idx="0">
                  <c:v>6.8949442133526455</c:v>
                </c:pt>
                <c:pt idx="1">
                  <c:v>0.50913033044722644</c:v>
                </c:pt>
                <c:pt idx="2">
                  <c:v>0.82975725213638662</c:v>
                </c:pt>
                <c:pt idx="3">
                  <c:v>1.0035230607141545</c:v>
                </c:pt>
                <c:pt idx="4">
                  <c:v>2.8057297328393416</c:v>
                </c:pt>
                <c:pt idx="5">
                  <c:v>4.0867740759806983</c:v>
                </c:pt>
                <c:pt idx="6">
                  <c:v>4.0068172330745426</c:v>
                </c:pt>
                <c:pt idx="7">
                  <c:v>4.2338134282111035</c:v>
                </c:pt>
                <c:pt idx="8">
                  <c:v>5.4061037621950723</c:v>
                </c:pt>
                <c:pt idx="9">
                  <c:v>8.7485045376025834</c:v>
                </c:pt>
                <c:pt idx="10">
                  <c:v>16.379621928132565</c:v>
                </c:pt>
                <c:pt idx="11">
                  <c:v>29.826023892377215</c:v>
                </c:pt>
                <c:pt idx="12">
                  <c:v>52.994277249791878</c:v>
                </c:pt>
                <c:pt idx="13">
                  <c:v>87.963871147960035</c:v>
                </c:pt>
                <c:pt idx="14">
                  <c:v>139.74161652574264</c:v>
                </c:pt>
                <c:pt idx="15">
                  <c:v>215.12556739053025</c:v>
                </c:pt>
                <c:pt idx="16">
                  <c:v>351.2321557789931</c:v>
                </c:pt>
                <c:pt idx="17">
                  <c:v>548.27100677998521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D0-4527-88A3-34718B7A7EC7}"/>
            </c:ext>
          </c:extLst>
        </c:ser>
        <c:ser>
          <c:idx val="2"/>
          <c:order val="2"/>
          <c:tx>
            <c:strRef>
              <c:f>Ledermann2!$O$40</c:f>
              <c:strCache>
                <c:ptCount val="1"/>
                <c:pt idx="0">
                  <c:v>-2s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Ledermann2!$O$41:$O$58</c:f>
              <c:numCache>
                <c:formatCode>0.00</c:formatCode>
                <c:ptCount val="18"/>
                <c:pt idx="0">
                  <c:v>4.2100839579659768</c:v>
                </c:pt>
                <c:pt idx="1">
                  <c:v>0.22347501240407303</c:v>
                </c:pt>
                <c:pt idx="2">
                  <c:v>0.2676400219722524</c:v>
                </c:pt>
                <c:pt idx="3">
                  <c:v>0.45507958871987136</c:v>
                </c:pt>
                <c:pt idx="4">
                  <c:v>1.188408732810972</c:v>
                </c:pt>
                <c:pt idx="5">
                  <c:v>1.550174647221451</c:v>
                </c:pt>
                <c:pt idx="6">
                  <c:v>1.7735340585421422</c:v>
                </c:pt>
                <c:pt idx="7">
                  <c:v>2.1094620468218284</c:v>
                </c:pt>
                <c:pt idx="8">
                  <c:v>3.0047225553191539</c:v>
                </c:pt>
                <c:pt idx="9">
                  <c:v>4.6572957908893589</c:v>
                </c:pt>
                <c:pt idx="10">
                  <c:v>8.6509514201695126</c:v>
                </c:pt>
                <c:pt idx="11">
                  <c:v>15.605416398688439</c:v>
                </c:pt>
                <c:pt idx="12">
                  <c:v>26.986649810192393</c:v>
                </c:pt>
                <c:pt idx="13">
                  <c:v>47.518676240294837</c:v>
                </c:pt>
                <c:pt idx="14">
                  <c:v>79.616991508526965</c:v>
                </c:pt>
                <c:pt idx="15">
                  <c:v>132.42562422567147</c:v>
                </c:pt>
                <c:pt idx="16">
                  <c:v>220.71622992122599</c:v>
                </c:pt>
                <c:pt idx="17">
                  <c:v>355.88958646669272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D0-4527-88A3-34718B7A7EC7}"/>
            </c:ext>
          </c:extLst>
        </c:ser>
        <c:ser>
          <c:idx val="4"/>
          <c:order val="3"/>
          <c:tx>
            <c:strRef>
              <c:f>Ledermann2!$Q$40</c:f>
              <c:strCache>
                <c:ptCount val="1"/>
                <c:pt idx="0">
                  <c:v>Femmes médiane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Ledermann2!$Q$41:$Q$58</c:f>
              <c:numCache>
                <c:formatCode>0.00</c:formatCode>
                <c:ptCount val="18"/>
                <c:pt idx="0">
                  <c:v>3.488602729562118</c:v>
                </c:pt>
                <c:pt idx="1">
                  <c:v>0.23886115826656826</c:v>
                </c:pt>
                <c:pt idx="2">
                  <c:v>0.25216009398065364</c:v>
                </c:pt>
                <c:pt idx="3">
                  <c:v>0.35955079227556108</c:v>
                </c:pt>
                <c:pt idx="4">
                  <c:v>0.87459703859431071</c:v>
                </c:pt>
                <c:pt idx="5">
                  <c:v>1.3774468442762289</c:v>
                </c:pt>
                <c:pt idx="6">
                  <c:v>1.7404854089994652</c:v>
                </c:pt>
                <c:pt idx="7">
                  <c:v>2.0926489167515641</c:v>
                </c:pt>
                <c:pt idx="8">
                  <c:v>2.8987222273061515</c:v>
                </c:pt>
                <c:pt idx="9">
                  <c:v>4.7083372948547444</c:v>
                </c:pt>
                <c:pt idx="10">
                  <c:v>8.8801349281690456</c:v>
                </c:pt>
                <c:pt idx="11">
                  <c:v>15.134312185632115</c:v>
                </c:pt>
                <c:pt idx="12">
                  <c:v>23.770262023408602</c:v>
                </c:pt>
                <c:pt idx="13">
                  <c:v>39.480735111313905</c:v>
                </c:pt>
                <c:pt idx="14">
                  <c:v>68.450228836510604</c:v>
                </c:pt>
                <c:pt idx="15">
                  <c:v>122.53054611534672</c:v>
                </c:pt>
                <c:pt idx="16">
                  <c:v>221.95283490937805</c:v>
                </c:pt>
                <c:pt idx="17">
                  <c:v>378.09131811360891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D0-4527-88A3-34718B7A7EC7}"/>
            </c:ext>
          </c:extLst>
        </c:ser>
        <c:ser>
          <c:idx val="5"/>
          <c:order val="4"/>
          <c:tx>
            <c:strRef>
              <c:f>Ledermann2!$R$40</c:f>
              <c:strCache>
                <c:ptCount val="1"/>
                <c:pt idx="0">
                  <c:v>+2s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Ledermann2!$R$41:$R$58</c:f>
              <c:numCache>
                <c:formatCode>0.00</c:formatCode>
                <c:ptCount val="18"/>
                <c:pt idx="0">
                  <c:v>4.3719130528279537</c:v>
                </c:pt>
                <c:pt idx="1">
                  <c:v>0.37568645208254786</c:v>
                </c:pt>
                <c:pt idx="2">
                  <c:v>0.39975725811389967</c:v>
                </c:pt>
                <c:pt idx="3">
                  <c:v>0.56963970133704334</c:v>
                </c:pt>
                <c:pt idx="4">
                  <c:v>1.3542785581605408</c:v>
                </c:pt>
                <c:pt idx="5">
                  <c:v>2.0524606919540491</c:v>
                </c:pt>
                <c:pt idx="6">
                  <c:v>2.310417081854113</c:v>
                </c:pt>
                <c:pt idx="7">
                  <c:v>2.4819691150877459</c:v>
                </c:pt>
                <c:pt idx="8">
                  <c:v>3.1767760558669464</c:v>
                </c:pt>
                <c:pt idx="9">
                  <c:v>4.9689836435944477</c:v>
                </c:pt>
                <c:pt idx="10">
                  <c:v>10.231034865512932</c:v>
                </c:pt>
                <c:pt idx="11">
                  <c:v>18.260921444306561</c:v>
                </c:pt>
                <c:pt idx="12">
                  <c:v>30.15323893297877</c:v>
                </c:pt>
                <c:pt idx="13">
                  <c:v>50.18630601421647</c:v>
                </c:pt>
                <c:pt idx="14">
                  <c:v>88.445329529247459</c:v>
                </c:pt>
                <c:pt idx="15">
                  <c:v>154.6836349633559</c:v>
                </c:pt>
                <c:pt idx="16">
                  <c:v>278.85645141418132</c:v>
                </c:pt>
                <c:pt idx="17">
                  <c:v>472.86449365449545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AD0-4527-88A3-34718B7A7EC7}"/>
            </c:ext>
          </c:extLst>
        </c:ser>
        <c:ser>
          <c:idx val="6"/>
          <c:order val="5"/>
          <c:tx>
            <c:strRef>
              <c:f>Ledermann2!$S$40</c:f>
              <c:strCache>
                <c:ptCount val="1"/>
                <c:pt idx="0">
                  <c:v>-2s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xVal>
            <c:numRef>
              <c:f>Ledermann2!$L$41:$L$58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Ledermann2!$S$41:$S$58</c:f>
              <c:numCache>
                <c:formatCode>0.00</c:formatCode>
                <c:ptCount val="18"/>
                <c:pt idx="0">
                  <c:v>2.7837582444225246</c:v>
                </c:pt>
                <c:pt idx="1">
                  <c:v>0.15186774133635836</c:v>
                </c:pt>
                <c:pt idx="2">
                  <c:v>0.15905830777490321</c:v>
                </c:pt>
                <c:pt idx="3">
                  <c:v>0.22694480725719887</c:v>
                </c:pt>
                <c:pt idx="4">
                  <c:v>0.5648173156908699</c:v>
                </c:pt>
                <c:pt idx="5">
                  <c:v>0.92443174003013739</c:v>
                </c:pt>
                <c:pt idx="6">
                  <c:v>1.3111439846648929</c:v>
                </c:pt>
                <c:pt idx="7">
                  <c:v>1.7643972530361951</c:v>
                </c:pt>
                <c:pt idx="8">
                  <c:v>2.6450056293897806</c:v>
                </c:pt>
                <c:pt idx="9">
                  <c:v>4.4613630617797631</c:v>
                </c:pt>
                <c:pt idx="10">
                  <c:v>7.7076070386878115</c:v>
                </c:pt>
                <c:pt idx="11">
                  <c:v>12.543036562023312</c:v>
                </c:pt>
                <c:pt idx="12">
                  <c:v>18.738463152080477</c:v>
                </c:pt>
                <c:pt idx="13">
                  <c:v>31.058839925141879</c:v>
                </c:pt>
                <c:pt idx="14">
                  <c:v>52.975480477137786</c:v>
                </c:pt>
                <c:pt idx="15">
                  <c:v>97.060912325223171</c:v>
                </c:pt>
                <c:pt idx="16">
                  <c:v>176.66100488075114</c:v>
                </c:pt>
                <c:pt idx="17">
                  <c:v>302.31291786804508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AD0-4527-88A3-34718B7A7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7669968"/>
        <c:axId val="-1067675408"/>
      </c:scatterChart>
      <c:valAx>
        <c:axId val="-1067669968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7675408"/>
        <c:crossesAt val="0.1"/>
        <c:crossBetween val="midCat"/>
      </c:valAx>
      <c:valAx>
        <c:axId val="-1067675408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766996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53469514732988543"/>
          <c:y val="0.64909161354350342"/>
          <c:w val="0.36282373077151758"/>
          <c:h val="0.22605220557594488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5386041428828"/>
          <c:y val="0.11921296296296299"/>
          <c:w val="0.82870698318843972"/>
          <c:h val="0.74635790317876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Ledermann2!$M$65</c:f>
              <c:strCache>
                <c:ptCount val="1"/>
                <c:pt idx="0">
                  <c:v>observés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Ledermann2!$M$66:$M$83</c:f>
              <c:numCache>
                <c:formatCode>0.00</c:formatCode>
                <c:ptCount val="18"/>
                <c:pt idx="0">
                  <c:v>3.72</c:v>
                </c:pt>
                <c:pt idx="1">
                  <c:v>0.72268840085121244</c:v>
                </c:pt>
                <c:pt idx="2">
                  <c:v>0.46205150869860212</c:v>
                </c:pt>
                <c:pt idx="3">
                  <c:v>0.53260978796099145</c:v>
                </c:pt>
                <c:pt idx="4">
                  <c:v>2.0209738882129846</c:v>
                </c:pt>
                <c:pt idx="5">
                  <c:v>3.5363101474973346</c:v>
                </c:pt>
                <c:pt idx="6">
                  <c:v>4.1049491936706595</c:v>
                </c:pt>
                <c:pt idx="7">
                  <c:v>4.6700981735855462</c:v>
                </c:pt>
                <c:pt idx="8">
                  <c:v>6.5892144962719223</c:v>
                </c:pt>
                <c:pt idx="9">
                  <c:v>10.308749088743575</c:v>
                </c:pt>
                <c:pt idx="10">
                  <c:v>16.661652263225022</c:v>
                </c:pt>
                <c:pt idx="11">
                  <c:v>27.895297679963683</c:v>
                </c:pt>
                <c:pt idx="12">
                  <c:v>41.958345543146812</c:v>
                </c:pt>
                <c:pt idx="13">
                  <c:v>56.563162008768209</c:v>
                </c:pt>
                <c:pt idx="14">
                  <c:v>76.801152737752119</c:v>
                </c:pt>
                <c:pt idx="15">
                  <c:v>110.21799073929562</c:v>
                </c:pt>
                <c:pt idx="16">
                  <c:v>175.19368513375233</c:v>
                </c:pt>
                <c:pt idx="17">
                  <c:v>290.68675232609667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DB-4F97-9658-257178651C71}"/>
            </c:ext>
          </c:extLst>
        </c:ser>
        <c:ser>
          <c:idx val="1"/>
          <c:order val="1"/>
          <c:tx>
            <c:strRef>
              <c:f>Ledermann2!$N$65</c:f>
              <c:strCache>
                <c:ptCount val="1"/>
                <c:pt idx="0">
                  <c:v>ajustés</c:v>
                </c:pt>
              </c:strCache>
            </c:strRef>
          </c:tx>
          <c:spPr>
            <a:ln w="31750"/>
          </c:spPr>
          <c:marker>
            <c:symbol val="none"/>
          </c:marker>
          <c:xVal>
            <c:numRef>
              <c:f>Ledermann2!$L$66:$L$83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</c:numCache>
            </c:numRef>
          </c:xVal>
          <c:yVal>
            <c:numRef>
              <c:f>Ledermann2!$N$66:$N$83</c:f>
              <c:numCache>
                <c:formatCode>0.00</c:formatCode>
                <c:ptCount val="18"/>
                <c:pt idx="0">
                  <c:v>5.387791200826765</c:v>
                </c:pt>
                <c:pt idx="1">
                  <c:v>0.33730980850248593</c:v>
                </c:pt>
                <c:pt idx="2">
                  <c:v>0.47124966757910641</c:v>
                </c:pt>
                <c:pt idx="3">
                  <c:v>0.67578314697889874</c:v>
                </c:pt>
                <c:pt idx="4">
                  <c:v>1.8260212803835745</c:v>
                </c:pt>
                <c:pt idx="5">
                  <c:v>2.5169850141602255</c:v>
                </c:pt>
                <c:pt idx="6">
                  <c:v>2.6657507065011328</c:v>
                </c:pt>
                <c:pt idx="7">
                  <c:v>2.9884893742718801</c:v>
                </c:pt>
                <c:pt idx="8">
                  <c:v>4.0303649847952068</c:v>
                </c:pt>
                <c:pt idx="9">
                  <c:v>6.3831319396948834</c:v>
                </c:pt>
                <c:pt idx="10">
                  <c:v>11.903752079954375</c:v>
                </c:pt>
                <c:pt idx="11">
                  <c:v>21.574232833585917</c:v>
                </c:pt>
                <c:pt idx="12">
                  <c:v>37.817165442221857</c:v>
                </c:pt>
                <c:pt idx="13">
                  <c:v>64.652352733082566</c:v>
                </c:pt>
                <c:pt idx="14">
                  <c:v>105.47894148273329</c:v>
                </c:pt>
                <c:pt idx="15">
                  <c:v>168.78429295581017</c:v>
                </c:pt>
                <c:pt idx="16">
                  <c:v>278.42887287536144</c:v>
                </c:pt>
                <c:pt idx="17">
                  <c:v>441.7283575622086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DB-4F97-9658-257178651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67674864"/>
        <c:axId val="-1067671056"/>
      </c:scatterChart>
      <c:valAx>
        <c:axId val="-1067674864"/>
        <c:scaling>
          <c:orientation val="minMax"/>
          <c:max val="8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7671056"/>
        <c:crossesAt val="1.0000000000000004E-2"/>
        <c:crossBetween val="midCat"/>
        <c:majorUnit val="10"/>
      </c:valAx>
      <c:valAx>
        <c:axId val="-1067671056"/>
        <c:scaling>
          <c:logBase val="10"/>
          <c:orientation val="minMax"/>
          <c:min val="0.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-1067674864"/>
        <c:crossesAt val="1.0000000000000004E-2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5867410161090465"/>
          <c:y val="0.18017169728783902"/>
          <c:w val="0.22328079110928978"/>
          <c:h val="0.2044714202391367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1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14287</xdr:rowOff>
    </xdr:from>
    <xdr:to>
      <xdr:col>11</xdr:col>
      <xdr:colOff>695325</xdr:colOff>
      <xdr:row>19</xdr:row>
      <xdr:rowOff>4762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B8C1A62-56BA-48F4-A3A1-2A51B702D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4763</xdr:colOff>
      <xdr:row>27</xdr:row>
      <xdr:rowOff>38100</xdr:rowOff>
    </xdr:from>
    <xdr:to>
      <xdr:col>6</xdr:col>
      <xdr:colOff>623888</xdr:colOff>
      <xdr:row>31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257E986-CEC6-4478-B43D-3345C3587CF9}"/>
            </a:ext>
          </a:extLst>
        </xdr:cNvPr>
        <xdr:cNvSpPr/>
      </xdr:nvSpPr>
      <xdr:spPr>
        <a:xfrm>
          <a:off x="4357688" y="4433888"/>
          <a:ext cx="3257550" cy="628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000"/>
            <a:t>Nota: on peut aussi bien travailler avec les données brutes (nombre de décès par âge) qu'avec les données réduit aux proportions de décès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39</xdr:row>
      <xdr:rowOff>0</xdr:rowOff>
    </xdr:from>
    <xdr:to>
      <xdr:col>27</xdr:col>
      <xdr:colOff>441960</xdr:colOff>
      <xdr:row>64</xdr:row>
      <xdr:rowOff>6668</xdr:rowOff>
    </xdr:to>
    <xdr:graphicFrame macro="">
      <xdr:nvGraphicFramePr>
        <xdr:cNvPr id="2" name="Graphique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84</xdr:row>
      <xdr:rowOff>0</xdr:rowOff>
    </xdr:from>
    <xdr:to>
      <xdr:col>17</xdr:col>
      <xdr:colOff>441960</xdr:colOff>
      <xdr:row>99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101</xdr:row>
      <xdr:rowOff>0</xdr:rowOff>
    </xdr:from>
    <xdr:to>
      <xdr:col>17</xdr:col>
      <xdr:colOff>441960</xdr:colOff>
      <xdr:row>116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139</xdr:row>
      <xdr:rowOff>0</xdr:rowOff>
    </xdr:from>
    <xdr:to>
      <xdr:col>17</xdr:col>
      <xdr:colOff>441960</xdr:colOff>
      <xdr:row>154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139</xdr:row>
      <xdr:rowOff>0</xdr:rowOff>
    </xdr:from>
    <xdr:to>
      <xdr:col>25</xdr:col>
      <xdr:colOff>441960</xdr:colOff>
      <xdr:row>154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20</xdr:col>
      <xdr:colOff>327938</xdr:colOff>
      <xdr:row>3</xdr:row>
      <xdr:rowOff>3572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Rot="1" noChangeAspect="1" noMove="1" noResize="1" noEditPoints="1" noAdjustHandles="1" noChangeArrowheads="1" noChangeShapeType="1" noTextEdit="1"/>
        </xdr:cNvSpPr>
      </xdr:nvSpPr>
      <xdr:spPr>
        <a:xfrm>
          <a:off x="6705600" y="182880"/>
          <a:ext cx="5204738" cy="369332"/>
        </a:xfrm>
        <a:prstGeom prst="rect">
          <a:avLst/>
        </a:prstGeom>
        <a:blipFill rotWithShape="1">
          <a:blip xmlns:r="http://schemas.openxmlformats.org/officeDocument/2006/relationships" r:embed="rId6" cstate="print"/>
          <a:stretch>
            <a:fillRect l="-1054" t="-8333" b="-26667"/>
          </a:stretch>
        </a:blipFill>
      </xdr:spPr>
      <xdr:txBody>
        <a:bodyPr wrap="square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>
              <a:noFill/>
            </a:rPr>
            <a:t> 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31</xdr:col>
      <xdr:colOff>118566</xdr:colOff>
      <xdr:row>4</xdr:row>
      <xdr:rowOff>97691</xdr:rowOff>
    </xdr:to>
    <xdr:sp macro="" textlink="">
      <xdr:nvSpPr>
        <xdr:cNvPr id="13" name="ZoneTexte 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Rot="1" noChangeAspect="1" noMove="1" noResize="1" noEditPoints="1" noAdjustHandles="1" noChangeArrowheads="1" noChangeShapeType="1" noTextEdit="1"/>
        </xdr:cNvSpPr>
      </xdr:nvSpPr>
      <xdr:spPr>
        <a:xfrm>
          <a:off x="12192000" y="182880"/>
          <a:ext cx="6214566" cy="646331"/>
        </a:xfrm>
        <a:prstGeom prst="rect">
          <a:avLst/>
        </a:prstGeom>
        <a:blipFill rotWithShape="1">
          <a:blip xmlns:r="http://schemas.openxmlformats.org/officeDocument/2006/relationships" r:embed="rId7" cstate="print"/>
          <a:stretch>
            <a:fillRect l="-784" t="-4717"/>
          </a:stretch>
        </a:blipFill>
      </xdr:spPr>
      <xdr:txBody>
        <a:bodyPr wrap="square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>
              <a:noFill/>
            </a:rPr>
            <a:t> 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0.79612</cdr:x>
      <cdr:y>0.93697</cdr:y>
    </cdr:from>
    <cdr:to>
      <cdr:x>0.91748</cdr:x>
      <cdr:y>0.99022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749040" y="4290060"/>
          <a:ext cx="571500" cy="2438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100" b="1">
              <a:latin typeface="Arial"/>
              <a:cs typeface="Arial"/>
            </a:rPr>
            <a:t>ȃ</a:t>
          </a:r>
          <a:r>
            <a:rPr lang="cs-CZ" sz="11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0.07605</cdr:x>
      <cdr:y>0.01498</cdr:y>
    </cdr:from>
    <cdr:to>
      <cdr:x>0.28317</cdr:x>
      <cdr:y>0.06491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358140" y="68580"/>
          <a:ext cx="975360" cy="2286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200" b="1">
              <a:latin typeface="Arial" pitchFamily="34" charset="0"/>
              <a:cs typeface="Arial" pitchFamily="34" charset="0"/>
            </a:rPr>
            <a:t>1000 qx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Hommes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Femmes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Hommes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Femmes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</xdr:colOff>
      <xdr:row>2</xdr:row>
      <xdr:rowOff>15240</xdr:rowOff>
    </xdr:from>
    <xdr:to>
      <xdr:col>17</xdr:col>
      <xdr:colOff>662940</xdr:colOff>
      <xdr:row>20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0.87333</cdr:x>
      <cdr:y>0.92138</cdr:y>
    </cdr:from>
    <cdr:to>
      <cdr:x>0.96999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992880" y="2857506"/>
          <a:ext cx="441933" cy="243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0.085</cdr:x>
      <cdr:y>0</cdr:y>
    </cdr:from>
    <cdr:to>
      <cdr:x>0.19667</cdr:x>
      <cdr:y>0.07371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8620" y="0"/>
          <a:ext cx="5105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>
              <a:latin typeface="Arial" pitchFamily="34" charset="0"/>
              <a:cs typeface="Arial" pitchFamily="34" charset="0"/>
            </a:rPr>
            <a:t>px</a:t>
          </a:r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0.01613</cdr:x>
      <cdr:y>0.02951</cdr:y>
    </cdr:from>
    <cdr:to>
      <cdr:x>0.3871</cdr:x>
      <cdr:y>0.12326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7150" y="80962"/>
          <a:ext cx="131444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décès cumulés</a:t>
          </a:r>
        </a:p>
      </cdr:txBody>
    </cdr:sp>
  </cdr:relSizeAnchor>
  <cdr:relSizeAnchor xmlns:cdr="http://schemas.openxmlformats.org/drawingml/2006/chartDrawing">
    <cdr:from>
      <cdr:x>0.47312</cdr:x>
      <cdr:y>0.89757</cdr:y>
    </cdr:from>
    <cdr:to>
      <cdr:x>0.94892</cdr:x>
      <cdr:y>0.9809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676400" y="2462214"/>
          <a:ext cx="16859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100"/>
            <a:t>âge (jours) ln(n+1)^3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</xdr:row>
      <xdr:rowOff>147637</xdr:rowOff>
    </xdr:from>
    <xdr:to>
      <xdr:col>16</xdr:col>
      <xdr:colOff>76200</xdr:colOff>
      <xdr:row>18</xdr:row>
      <xdr:rowOff>138112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28575</xdr:colOff>
      <xdr:row>21</xdr:row>
      <xdr:rowOff>9525</xdr:rowOff>
    </xdr:from>
    <xdr:to>
      <xdr:col>16</xdr:col>
      <xdr:colOff>57150</xdr:colOff>
      <xdr:row>38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0.02978</cdr:x>
      <cdr:y>0</cdr:y>
    </cdr:from>
    <cdr:to>
      <cdr:x>0.15633</cdr:x>
      <cdr:y>0.07465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4300" y="0"/>
          <a:ext cx="485775" cy="204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Sx</a:t>
          </a:r>
        </a:p>
        <a:p xmlns:a="http://schemas.openxmlformats.org/drawingml/2006/main"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0.71464</cdr:x>
      <cdr:y>0.91667</cdr:y>
    </cdr:from>
    <cdr:to>
      <cdr:x>0.9603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743200" y="2514600"/>
          <a:ext cx="942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âge en jours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0.02978</cdr:x>
      <cdr:y>0</cdr:y>
    </cdr:from>
    <cdr:to>
      <cdr:x>0.15633</cdr:x>
      <cdr:y>0.07465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4300" y="0"/>
          <a:ext cx="485775" cy="204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dx*</a:t>
          </a:r>
        </a:p>
        <a:p xmlns:a="http://schemas.openxmlformats.org/drawingml/2006/main"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0.71712</cdr:x>
      <cdr:y>0.9132</cdr:y>
    </cdr:from>
    <cdr:to>
      <cdr:x>0.96278</cdr:x>
      <cdr:y>0.99653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752724" y="2505084"/>
          <a:ext cx="942985" cy="228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âge en jours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66675</xdr:rowOff>
    </xdr:from>
    <xdr:to>
      <xdr:col>17</xdr:col>
      <xdr:colOff>228600</xdr:colOff>
      <xdr:row>5</xdr:row>
      <xdr:rowOff>45665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105525" y="552450"/>
          <a:ext cx="4800600" cy="3028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rgbClr val="000000"/>
              </a:solidFill>
              <a:latin typeface="Calibri"/>
            </a:defRPr>
          </a:lvl9pPr>
        </a:lstStyle>
        <a:p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log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5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q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x 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= a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0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(x) + a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1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(x).log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10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Q </a:t>
          </a:r>
          <a:r>
            <a:rPr lang="cs-CZ" sz="1400" b="1" i="0">
              <a:solidFill>
                <a:srgbClr val="FF0000"/>
              </a:solidFill>
              <a:latin typeface="+mn-lt"/>
              <a:ea typeface="Cambria Math"/>
            </a:rPr>
            <a:t>±</a:t>
          </a:r>
          <a:r>
            <a:rPr lang="fr-FR" sz="1400" b="1" i="0">
              <a:solidFill>
                <a:srgbClr val="FF0000"/>
              </a:solidFill>
              <a:latin typeface="+mn-lt"/>
              <a:ea typeface="Cambria Math"/>
            </a:rPr>
            <a:t>2</a:t>
          </a:r>
          <a:r>
            <a:rPr lang="cs-CZ" sz="1400" b="1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S</a:t>
          </a:r>
          <a:r>
            <a:rPr lang="cs-CZ" sz="1400" b="1" baseline="-25000">
              <a:solidFill>
                <a:srgbClr val="FF0000"/>
              </a:solidFill>
              <a:latin typeface="+mn-lt"/>
              <a:cs typeface="Arial" panose="020B0604020202020204" pitchFamily="34" charset="0"/>
            </a:rPr>
            <a:t>(x) </a:t>
          </a:r>
          <a:endParaRPr lang="fr-FR" sz="1400" b="1" baseline="-25000">
            <a:solidFill>
              <a:srgbClr val="FF0000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342900</xdr:colOff>
      <xdr:row>39</xdr:row>
      <xdr:rowOff>33336</xdr:rowOff>
    </xdr:from>
    <xdr:to>
      <xdr:col>25</xdr:col>
      <xdr:colOff>342900</xdr:colOff>
      <xdr:row>66</xdr:row>
      <xdr:rowOff>85724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198120</xdr:colOff>
      <xdr:row>64</xdr:row>
      <xdr:rowOff>137160</xdr:rowOff>
    </xdr:from>
    <xdr:to>
      <xdr:col>24</xdr:col>
      <xdr:colOff>769620</xdr:colOff>
      <xdr:row>66</xdr:row>
      <xdr:rowOff>45720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6672560" y="10896600"/>
          <a:ext cx="571500" cy="2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latin typeface="Arial"/>
              <a:cs typeface="Arial"/>
            </a:rPr>
            <a:t>ȃ</a:t>
          </a:r>
          <a:r>
            <a:rPr lang="cs-CZ" sz="1100" b="1">
              <a:latin typeface="Arial" pitchFamily="34" charset="0"/>
              <a:cs typeface="Arial" pitchFamily="34" charset="0"/>
            </a:rPr>
            <a:t>ge</a:t>
          </a:r>
        </a:p>
      </xdr:txBody>
    </xdr:sp>
    <xdr:clientData/>
  </xdr:twoCellAnchor>
  <xdr:twoCellAnchor>
    <xdr:from>
      <xdr:col>19</xdr:col>
      <xdr:colOff>419100</xdr:colOff>
      <xdr:row>39</xdr:row>
      <xdr:rowOff>53340</xdr:rowOff>
    </xdr:from>
    <xdr:to>
      <xdr:col>20</xdr:col>
      <xdr:colOff>609600</xdr:colOff>
      <xdr:row>40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969240" y="6621780"/>
          <a:ext cx="97536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200" b="1">
              <a:latin typeface="Arial" pitchFamily="34" charset="0"/>
              <a:cs typeface="Arial" pitchFamily="34" charset="0"/>
            </a:rPr>
            <a:t>1000 qx</a:t>
          </a:r>
        </a:p>
      </xdr:txBody>
    </xdr:sp>
    <xdr:clientData/>
  </xdr:twoCellAnchor>
  <xdr:twoCellAnchor>
    <xdr:from>
      <xdr:col>11</xdr:col>
      <xdr:colOff>68580</xdr:colOff>
      <xdr:row>85</xdr:row>
      <xdr:rowOff>144780</xdr:rowOff>
    </xdr:from>
    <xdr:to>
      <xdr:col>16</xdr:col>
      <xdr:colOff>243840</xdr:colOff>
      <xdr:row>102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104</xdr:row>
      <xdr:rowOff>0</xdr:rowOff>
    </xdr:from>
    <xdr:to>
      <xdr:col>16</xdr:col>
      <xdr:colOff>175260</xdr:colOff>
      <xdr:row>120</xdr:row>
      <xdr:rowOff>60960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754380</xdr:colOff>
      <xdr:row>89</xdr:row>
      <xdr:rowOff>15240</xdr:rowOff>
    </xdr:from>
    <xdr:to>
      <xdr:col>22</xdr:col>
      <xdr:colOff>144780</xdr:colOff>
      <xdr:row>117</xdr:row>
      <xdr:rowOff>38100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Hommes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0.91667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20" y="2514600"/>
          <a:ext cx="441960" cy="198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0.77323</cdr:x>
      <cdr:y>0.00278</cdr:y>
    </cdr:from>
    <cdr:to>
      <cdr:x>0.98141</cdr:x>
      <cdr:y>0.09167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69920" y="7620"/>
          <a:ext cx="85344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Femmes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0.85688</cdr:x>
      <cdr:y>0.93376</cdr:y>
    </cdr:from>
    <cdr:to>
      <cdr:x>0.96468</cdr:x>
      <cdr:y>0.98889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12831" y="4404359"/>
          <a:ext cx="441933" cy="260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cs-CZ" sz="1000" b="1">
              <a:latin typeface="Arial"/>
              <a:cs typeface="Arial"/>
            </a:rPr>
            <a:t>ȃ</a:t>
          </a:r>
          <a:r>
            <a:rPr lang="cs-CZ" sz="1000" b="1">
              <a:latin typeface="Arial" pitchFamily="34" charset="0"/>
              <a:cs typeface="Arial" pitchFamily="34" charset="0"/>
            </a:rPr>
            <a:t>ge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0.25465</cdr:x>
      <cdr:y>0.08056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1043940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q</a:t>
          </a:r>
          <a:r>
            <a:rPr lang="cs-CZ" sz="1100" b="1" baseline="-25000">
              <a:latin typeface="Arial" pitchFamily="34" charset="0"/>
              <a:cs typeface="Arial" pitchFamily="34" charset="0"/>
            </a:rPr>
            <a:t>x</a:t>
          </a:r>
          <a:r>
            <a:rPr lang="cs-CZ" sz="1100" b="1">
              <a:latin typeface="Arial" pitchFamily="34" charset="0"/>
              <a:cs typeface="Arial" pitchFamily="34" charset="0"/>
            </a:rPr>
            <a:t>  p. 1000</a:t>
          </a:r>
        </a:p>
        <a:p xmlns:a="http://schemas.openxmlformats.org/drawingml/2006/main">
          <a:endParaRPr lang="cs-CZ" sz="11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nstats.un.org/unsd/demographic/products/dyb/dyb2013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4"/>
  <sheetViews>
    <sheetView tabSelected="1" workbookViewId="0">
      <selection activeCell="B23" sqref="B23"/>
    </sheetView>
  </sheetViews>
  <sheetFormatPr baseColWidth="10" defaultColWidth="11.6328125" defaultRowHeight="12.5" x14ac:dyDescent="0.25"/>
  <cols>
    <col min="1" max="16384" width="11.6328125" style="109"/>
  </cols>
  <sheetData>
    <row r="2" spans="1:1" x14ac:dyDescent="0.25">
      <c r="A2" s="109" t="s">
        <v>291</v>
      </c>
    </row>
    <row r="3" spans="1:1" x14ac:dyDescent="0.25">
      <c r="A3" s="109" t="s">
        <v>303</v>
      </c>
    </row>
    <row r="5" spans="1:1" x14ac:dyDescent="0.25">
      <c r="A5" s="109" t="s">
        <v>290</v>
      </c>
    </row>
    <row r="8" spans="1:1" ht="15.5" x14ac:dyDescent="0.4">
      <c r="A8" s="109" t="s">
        <v>304</v>
      </c>
    </row>
    <row r="9" spans="1:1" ht="15.5" x14ac:dyDescent="0.4">
      <c r="A9" s="109" t="s">
        <v>305</v>
      </c>
    </row>
    <row r="10" spans="1:1" ht="13" x14ac:dyDescent="0.3">
      <c r="A10" s="109" t="s">
        <v>306</v>
      </c>
    </row>
    <row r="12" spans="1:1" ht="15.5" x14ac:dyDescent="0.4">
      <c r="A12" s="109" t="s">
        <v>293</v>
      </c>
    </row>
    <row r="13" spans="1:1" x14ac:dyDescent="0.25">
      <c r="A13" s="109" t="s">
        <v>307</v>
      </c>
    </row>
    <row r="14" spans="1:1" x14ac:dyDescent="0.25">
      <c r="A14" s="109" t="s">
        <v>308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D22DB-AAA8-4771-9EEB-8C4336E3159B}">
  <dimension ref="A1:G52"/>
  <sheetViews>
    <sheetView workbookViewId="0">
      <selection activeCell="H24" sqref="H24"/>
    </sheetView>
  </sheetViews>
  <sheetFormatPr baseColWidth="10" defaultColWidth="11.36328125" defaultRowHeight="12.5" x14ac:dyDescent="0.25"/>
  <cols>
    <col min="1" max="1" width="35.54296875" style="2" customWidth="1"/>
    <col min="2" max="2" width="14" style="2" customWidth="1"/>
    <col min="3" max="5" width="11.36328125" style="2"/>
    <col min="6" max="6" width="14.1796875" style="2" customWidth="1"/>
    <col min="7" max="7" width="8.81640625" style="2" customWidth="1"/>
    <col min="8" max="16384" width="11.36328125" style="2"/>
  </cols>
  <sheetData>
    <row r="1" spans="1:7" ht="13" x14ac:dyDescent="0.3">
      <c r="A1" s="3" t="s">
        <v>7</v>
      </c>
      <c r="C1" s="131" t="s">
        <v>318</v>
      </c>
    </row>
    <row r="2" spans="1:7" ht="13" x14ac:dyDescent="0.3">
      <c r="A2" s="3" t="s">
        <v>2</v>
      </c>
      <c r="B2" s="3" t="s">
        <v>1</v>
      </c>
      <c r="C2" s="132" t="s">
        <v>319</v>
      </c>
      <c r="D2" s="9" t="s">
        <v>320</v>
      </c>
      <c r="F2" s="2" t="s">
        <v>331</v>
      </c>
      <c r="G2" s="136" t="s">
        <v>321</v>
      </c>
    </row>
    <row r="3" spans="1:7" ht="13" x14ac:dyDescent="0.3">
      <c r="A3" s="2" t="s">
        <v>0</v>
      </c>
      <c r="B3" s="5">
        <v>2643</v>
      </c>
      <c r="C3" s="2">
        <f t="shared" ref="C3:C21" si="0">1000*B3/$B$23</f>
        <v>3.3443419504232623</v>
      </c>
      <c r="D3" s="133" t="s">
        <v>10</v>
      </c>
      <c r="E3" s="133" t="s">
        <v>11</v>
      </c>
      <c r="F3" s="9" t="s">
        <v>12</v>
      </c>
      <c r="G3" s="136" t="s">
        <v>21</v>
      </c>
    </row>
    <row r="4" spans="1:7" x14ac:dyDescent="0.25">
      <c r="A4" s="2" t="s">
        <v>322</v>
      </c>
      <c r="B4" s="5">
        <v>665</v>
      </c>
      <c r="C4" s="2">
        <f t="shared" si="0"/>
        <v>0.84146326032216023</v>
      </c>
      <c r="D4" s="8">
        <v>27</v>
      </c>
      <c r="E4" s="134">
        <f t="shared" ref="E4:E15" si="1">LN(D4+1)^3</f>
        <v>36.999422339411552</v>
      </c>
      <c r="F4" s="5">
        <f>SUM(B4:B6)</f>
        <v>1789</v>
      </c>
      <c r="G4" s="135">
        <f>SUM(C4:C6)</f>
        <v>2.2637259740095406</v>
      </c>
    </row>
    <row r="5" spans="1:7" x14ac:dyDescent="0.25">
      <c r="A5" s="2" t="s">
        <v>323</v>
      </c>
      <c r="B5" s="5">
        <v>568</v>
      </c>
      <c r="C5" s="2">
        <f t="shared" si="0"/>
        <v>0.71872350656088269</v>
      </c>
      <c r="D5" s="8">
        <v>61</v>
      </c>
      <c r="E5" s="134">
        <f t="shared" si="1"/>
        <v>70.298463196866138</v>
      </c>
      <c r="F5" s="5">
        <f t="shared" ref="F5:F15" si="2">F4+B11</f>
        <v>2065</v>
      </c>
      <c r="G5" s="135">
        <f t="shared" ref="G5:G15" si="3">G4+C11</f>
        <v>2.6129648610003922</v>
      </c>
    </row>
    <row r="6" spans="1:7" x14ac:dyDescent="0.25">
      <c r="A6" s="2" t="s">
        <v>324</v>
      </c>
      <c r="B6" s="5">
        <v>556</v>
      </c>
      <c r="C6" s="2">
        <f t="shared" si="0"/>
        <v>0.70353920712649787</v>
      </c>
      <c r="D6" s="8">
        <v>91.5</v>
      </c>
      <c r="E6" s="134">
        <f t="shared" si="1"/>
        <v>92.787939486875473</v>
      </c>
      <c r="F6" s="5">
        <f t="shared" si="2"/>
        <v>2190</v>
      </c>
      <c r="G6" s="135">
        <f t="shared" si="3"/>
        <v>2.7711346467752342</v>
      </c>
    </row>
    <row r="7" spans="1:7" x14ac:dyDescent="0.25">
      <c r="A7" s="2" t="s">
        <v>325</v>
      </c>
      <c r="B7" s="5">
        <v>307</v>
      </c>
      <c r="C7" s="2">
        <f t="shared" si="0"/>
        <v>0.38846499386301231</v>
      </c>
      <c r="D7" s="8">
        <v>122</v>
      </c>
      <c r="E7" s="134">
        <f t="shared" si="1"/>
        <v>111.4363222548409</v>
      </c>
      <c r="F7" s="5">
        <f t="shared" si="2"/>
        <v>2290</v>
      </c>
      <c r="G7" s="135">
        <f t="shared" si="3"/>
        <v>2.8976704753951079</v>
      </c>
    </row>
    <row r="8" spans="1:7" x14ac:dyDescent="0.25">
      <c r="A8" s="2" t="s">
        <v>326</v>
      </c>
      <c r="B8" s="5">
        <v>137</v>
      </c>
      <c r="C8" s="2">
        <f t="shared" si="0"/>
        <v>0.17335408520922699</v>
      </c>
      <c r="D8" s="8">
        <v>152.5</v>
      </c>
      <c r="E8" s="134">
        <f t="shared" si="1"/>
        <v>127.54461672499816</v>
      </c>
      <c r="F8" s="5">
        <f t="shared" si="2"/>
        <v>2369</v>
      </c>
      <c r="G8" s="135">
        <f t="shared" si="3"/>
        <v>2.9976337800048083</v>
      </c>
    </row>
    <row r="9" spans="1:7" x14ac:dyDescent="0.25">
      <c r="A9" s="2" t="s">
        <v>327</v>
      </c>
      <c r="B9" s="5">
        <v>112</v>
      </c>
      <c r="C9" s="2">
        <f t="shared" si="0"/>
        <v>0.14172012805425857</v>
      </c>
      <c r="D9" s="8">
        <v>183</v>
      </c>
      <c r="E9" s="134">
        <f t="shared" si="1"/>
        <v>141.82307198800629</v>
      </c>
      <c r="F9" s="5">
        <f t="shared" si="2"/>
        <v>2425</v>
      </c>
      <c r="G9" s="135">
        <f t="shared" si="3"/>
        <v>3.0684938440319374</v>
      </c>
    </row>
    <row r="10" spans="1:7" x14ac:dyDescent="0.25">
      <c r="A10" s="2" t="s">
        <v>328</v>
      </c>
      <c r="B10" s="5">
        <v>854</v>
      </c>
      <c r="C10" s="2">
        <f t="shared" si="0"/>
        <v>1.0806159764137215</v>
      </c>
      <c r="D10" s="8">
        <v>213.5</v>
      </c>
      <c r="E10" s="134">
        <f t="shared" si="1"/>
        <v>154.70797330422812</v>
      </c>
      <c r="F10" s="5">
        <f t="shared" si="2"/>
        <v>2478</v>
      </c>
      <c r="G10" s="135">
        <f t="shared" si="3"/>
        <v>3.1355578332004703</v>
      </c>
    </row>
    <row r="11" spans="1:7" x14ac:dyDescent="0.25">
      <c r="A11" s="2" t="s">
        <v>25</v>
      </c>
      <c r="B11" s="5">
        <v>276</v>
      </c>
      <c r="C11" s="2">
        <f t="shared" si="0"/>
        <v>0.34923888699085148</v>
      </c>
      <c r="D11" s="8">
        <v>244</v>
      </c>
      <c r="E11" s="134">
        <f t="shared" si="1"/>
        <v>166.48920872997317</v>
      </c>
      <c r="F11" s="5">
        <f t="shared" si="2"/>
        <v>2529</v>
      </c>
      <c r="G11" s="135">
        <f t="shared" si="3"/>
        <v>3.2000911057966057</v>
      </c>
    </row>
    <row r="12" spans="1:7" x14ac:dyDescent="0.25">
      <c r="A12" s="2" t="s">
        <v>28</v>
      </c>
      <c r="B12" s="5">
        <v>125</v>
      </c>
      <c r="C12" s="2">
        <f t="shared" si="0"/>
        <v>0.15816978577484214</v>
      </c>
      <c r="D12" s="8">
        <v>274.5</v>
      </c>
      <c r="E12" s="134">
        <f t="shared" si="1"/>
        <v>177.3705349189878</v>
      </c>
      <c r="F12" s="5">
        <f t="shared" si="2"/>
        <v>2568</v>
      </c>
      <c r="G12" s="135">
        <f t="shared" si="3"/>
        <v>3.2494400789583566</v>
      </c>
    </row>
    <row r="13" spans="1:7" x14ac:dyDescent="0.25">
      <c r="A13" s="2" t="s">
        <v>29</v>
      </c>
      <c r="B13" s="5">
        <v>100</v>
      </c>
      <c r="C13" s="2">
        <f t="shared" si="0"/>
        <v>0.12653582861987372</v>
      </c>
      <c r="D13" s="8">
        <v>305</v>
      </c>
      <c r="E13" s="134">
        <f t="shared" si="1"/>
        <v>187.50136500196058</v>
      </c>
      <c r="F13" s="5">
        <f t="shared" si="2"/>
        <v>2597</v>
      </c>
      <c r="G13" s="135">
        <f t="shared" si="3"/>
        <v>3.2861354692581202</v>
      </c>
    </row>
    <row r="14" spans="1:7" x14ac:dyDescent="0.25">
      <c r="A14" s="2" t="s">
        <v>30</v>
      </c>
      <c r="B14" s="5">
        <v>79</v>
      </c>
      <c r="C14" s="2">
        <f t="shared" si="0"/>
        <v>9.9963304609700238E-2</v>
      </c>
      <c r="D14" s="8">
        <v>335.5</v>
      </c>
      <c r="E14" s="134">
        <f t="shared" si="1"/>
        <v>196.99495014457062</v>
      </c>
      <c r="F14" s="5">
        <f t="shared" si="2"/>
        <v>2619</v>
      </c>
      <c r="G14" s="135">
        <f t="shared" si="3"/>
        <v>3.3139733515544925</v>
      </c>
    </row>
    <row r="15" spans="1:7" x14ac:dyDescent="0.25">
      <c r="A15" s="2" t="s">
        <v>31</v>
      </c>
      <c r="B15" s="5">
        <v>56</v>
      </c>
      <c r="C15" s="2">
        <f t="shared" si="0"/>
        <v>7.0860064027129285E-2</v>
      </c>
      <c r="D15" s="8">
        <v>366</v>
      </c>
      <c r="E15" s="134">
        <f t="shared" si="1"/>
        <v>205.93944681112652</v>
      </c>
      <c r="F15" s="5">
        <f t="shared" si="2"/>
        <v>2643</v>
      </c>
      <c r="G15" s="135">
        <f t="shared" si="3"/>
        <v>3.3443419504232623</v>
      </c>
    </row>
    <row r="16" spans="1:7" x14ac:dyDescent="0.25">
      <c r="A16" s="2" t="s">
        <v>32</v>
      </c>
      <c r="B16" s="5">
        <v>53</v>
      </c>
      <c r="C16" s="2">
        <f t="shared" si="0"/>
        <v>6.7063989168533067E-2</v>
      </c>
      <c r="F16" s="5"/>
      <c r="G16" s="5"/>
    </row>
    <row r="17" spans="1:7" x14ac:dyDescent="0.25">
      <c r="A17" s="2" t="s">
        <v>33</v>
      </c>
      <c r="B17" s="5">
        <v>51</v>
      </c>
      <c r="C17" s="2">
        <f t="shared" si="0"/>
        <v>6.4533272596135602E-2</v>
      </c>
      <c r="E17" s="9" t="s">
        <v>13</v>
      </c>
      <c r="F17" s="126">
        <f>INTERCEPT(F4:F15,E4:E15)</f>
        <v>1710.8797642254249</v>
      </c>
      <c r="G17" s="126">
        <f>INTERCEPT(G4:G15,E4:E15)</f>
        <v>2.1648758863523834</v>
      </c>
    </row>
    <row r="18" spans="1:7" x14ac:dyDescent="0.25">
      <c r="A18" s="2" t="s">
        <v>34</v>
      </c>
      <c r="B18" s="5">
        <v>39</v>
      </c>
      <c r="C18" s="2">
        <f t="shared" si="0"/>
        <v>4.9348973161750749E-2</v>
      </c>
      <c r="E18" s="9" t="s">
        <v>14</v>
      </c>
      <c r="F18" s="8">
        <f>SLOPE(F4:F15,E4:E15)</f>
        <v>4.8095544533436136</v>
      </c>
      <c r="G18" s="8">
        <f>SLOPE(G4:G15,E4:E15)</f>
        <v>6.085809580462378E-3</v>
      </c>
    </row>
    <row r="19" spans="1:7" x14ac:dyDescent="0.25">
      <c r="A19" s="2" t="s">
        <v>35</v>
      </c>
      <c r="B19" s="5">
        <v>29</v>
      </c>
      <c r="C19" s="2">
        <f t="shared" si="0"/>
        <v>3.6695390299763375E-2</v>
      </c>
      <c r="G19" s="136" t="s">
        <v>329</v>
      </c>
    </row>
    <row r="20" spans="1:7" ht="13" x14ac:dyDescent="0.3">
      <c r="A20" s="2" t="s">
        <v>36</v>
      </c>
      <c r="B20" s="5">
        <v>22</v>
      </c>
      <c r="C20" s="2">
        <f t="shared" si="0"/>
        <v>2.7837882296372216E-2</v>
      </c>
      <c r="E20" s="13" t="s">
        <v>15</v>
      </c>
      <c r="F20" s="14">
        <f>F17</f>
        <v>1710.8797642254249</v>
      </c>
      <c r="G20" s="137">
        <f>G17</f>
        <v>2.1648758863523834</v>
      </c>
    </row>
    <row r="21" spans="1:7" ht="13" x14ac:dyDescent="0.3">
      <c r="A21" s="2" t="s">
        <v>37</v>
      </c>
      <c r="B21" s="5">
        <v>24</v>
      </c>
      <c r="C21" s="2">
        <f t="shared" si="0"/>
        <v>3.0368598868769692E-2</v>
      </c>
      <c r="E21" s="13" t="s">
        <v>16</v>
      </c>
      <c r="F21" s="14">
        <f>F15-F17</f>
        <v>932.12023577457512</v>
      </c>
      <c r="G21" s="137">
        <f>G15-G17</f>
        <v>1.179466064070879</v>
      </c>
    </row>
    <row r="22" spans="1:7" ht="13" x14ac:dyDescent="0.3">
      <c r="B22" s="5"/>
      <c r="E22" s="13" t="s">
        <v>17</v>
      </c>
      <c r="F22" s="14">
        <f>SUM(F20:F21)</f>
        <v>2643</v>
      </c>
      <c r="G22" s="137">
        <f>SUM(G20:G21)</f>
        <v>3.3443419504232623</v>
      </c>
    </row>
    <row r="23" spans="1:7" x14ac:dyDescent="0.25">
      <c r="A23" s="2" t="s">
        <v>8</v>
      </c>
      <c r="B23" s="5">
        <v>790290</v>
      </c>
      <c r="C23" s="5"/>
    </row>
    <row r="24" spans="1:7" ht="13" x14ac:dyDescent="0.25">
      <c r="A24" s="1" t="s">
        <v>4</v>
      </c>
      <c r="E24" s="11" t="s">
        <v>18</v>
      </c>
      <c r="F24" s="19">
        <f>F20/B$23*1000</f>
        <v>2.1648758863523829</v>
      </c>
      <c r="G24" s="15" t="s">
        <v>21</v>
      </c>
    </row>
    <row r="25" spans="1:7" x14ac:dyDescent="0.25">
      <c r="A25" s="4" t="s">
        <v>3</v>
      </c>
      <c r="E25" s="11" t="s">
        <v>19</v>
      </c>
      <c r="F25" s="19">
        <f>F21/B$23*1000</f>
        <v>1.1794660640708792</v>
      </c>
      <c r="G25" s="15" t="s">
        <v>21</v>
      </c>
    </row>
    <row r="26" spans="1:7" x14ac:dyDescent="0.25">
      <c r="A26" s="2" t="s">
        <v>5</v>
      </c>
      <c r="E26" s="11" t="s">
        <v>20</v>
      </c>
      <c r="F26" s="19">
        <f>F22/B$23*1000</f>
        <v>3.3443419504232623</v>
      </c>
      <c r="G26" s="15" t="s">
        <v>21</v>
      </c>
    </row>
    <row r="27" spans="1:7" x14ac:dyDescent="0.25">
      <c r="A27" s="2" t="s">
        <v>6</v>
      </c>
    </row>
    <row r="29" spans="1:7" x14ac:dyDescent="0.25">
      <c r="A29" s="2">
        <v>2012</v>
      </c>
      <c r="B29" s="9" t="s">
        <v>9</v>
      </c>
    </row>
    <row r="30" spans="1:7" x14ac:dyDescent="0.25">
      <c r="A30" s="9" t="s">
        <v>330</v>
      </c>
      <c r="B30" s="6">
        <f>366/12</f>
        <v>30.5</v>
      </c>
      <c r="D30" s="138"/>
    </row>
    <row r="32" spans="1:7" x14ac:dyDescent="0.25">
      <c r="B32" s="7">
        <f>B30</f>
        <v>30.5</v>
      </c>
    </row>
    <row r="33" spans="2:2" x14ac:dyDescent="0.25">
      <c r="B33" s="7">
        <f t="shared" ref="B33:B43" si="4">B32+B$30</f>
        <v>61</v>
      </c>
    </row>
    <row r="34" spans="2:2" x14ac:dyDescent="0.25">
      <c r="B34" s="7">
        <f t="shared" si="4"/>
        <v>91.5</v>
      </c>
    </row>
    <row r="35" spans="2:2" x14ac:dyDescent="0.25">
      <c r="B35" s="7">
        <f t="shared" si="4"/>
        <v>122</v>
      </c>
    </row>
    <row r="36" spans="2:2" x14ac:dyDescent="0.25">
      <c r="B36" s="7">
        <f t="shared" si="4"/>
        <v>152.5</v>
      </c>
    </row>
    <row r="37" spans="2:2" x14ac:dyDescent="0.25">
      <c r="B37" s="7">
        <f t="shared" si="4"/>
        <v>183</v>
      </c>
    </row>
    <row r="38" spans="2:2" x14ac:dyDescent="0.25">
      <c r="B38" s="7">
        <f t="shared" si="4"/>
        <v>213.5</v>
      </c>
    </row>
    <row r="39" spans="2:2" x14ac:dyDescent="0.25">
      <c r="B39" s="7">
        <f t="shared" si="4"/>
        <v>244</v>
      </c>
    </row>
    <row r="40" spans="2:2" x14ac:dyDescent="0.25">
      <c r="B40" s="7">
        <f t="shared" si="4"/>
        <v>274.5</v>
      </c>
    </row>
    <row r="41" spans="2:2" x14ac:dyDescent="0.25">
      <c r="B41" s="7">
        <f t="shared" si="4"/>
        <v>305</v>
      </c>
    </row>
    <row r="42" spans="2:2" x14ac:dyDescent="0.25">
      <c r="B42" s="7">
        <f t="shared" si="4"/>
        <v>335.5</v>
      </c>
    </row>
    <row r="43" spans="2:2" x14ac:dyDescent="0.25">
      <c r="B43" s="7">
        <f t="shared" si="4"/>
        <v>366</v>
      </c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</sheetData>
  <hyperlinks>
    <hyperlink ref="A25" r:id="rId1" xr:uid="{42141B99-9FF0-4761-917C-5E9B8CCE87ED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2"/>
  <sheetViews>
    <sheetView workbookViewId="0"/>
  </sheetViews>
  <sheetFormatPr baseColWidth="10" defaultColWidth="11.36328125" defaultRowHeight="12.5" x14ac:dyDescent="0.25"/>
  <cols>
    <col min="1" max="1" width="23.26953125" style="2" customWidth="1"/>
    <col min="2" max="2" width="8.7265625" style="2" customWidth="1"/>
    <col min="3" max="16384" width="11.36328125" style="2"/>
  </cols>
  <sheetData>
    <row r="1" spans="1:10" ht="15.5" x14ac:dyDescent="0.4">
      <c r="E1" s="9" t="s">
        <v>296</v>
      </c>
      <c r="I1" s="2" t="s">
        <v>48</v>
      </c>
    </row>
    <row r="2" spans="1:10" ht="15.5" x14ac:dyDescent="0.4">
      <c r="A2" s="9" t="s">
        <v>47</v>
      </c>
      <c r="B2" s="9" t="s">
        <v>38</v>
      </c>
      <c r="C2" s="9" t="s">
        <v>40</v>
      </c>
      <c r="D2" s="9" t="s">
        <v>294</v>
      </c>
      <c r="E2" s="9" t="s">
        <v>295</v>
      </c>
      <c r="F2" s="9" t="s">
        <v>300</v>
      </c>
      <c r="G2" s="9" t="s">
        <v>297</v>
      </c>
      <c r="H2" s="9" t="s">
        <v>298</v>
      </c>
      <c r="I2" s="9" t="s">
        <v>45</v>
      </c>
      <c r="J2" s="35" t="s">
        <v>299</v>
      </c>
    </row>
    <row r="3" spans="1:10" x14ac:dyDescent="0.25">
      <c r="A3" s="20" t="s">
        <v>22</v>
      </c>
      <c r="B3" s="5">
        <v>665</v>
      </c>
      <c r="C3" s="5">
        <f>B21</f>
        <v>790290</v>
      </c>
      <c r="D3" s="26">
        <f>B3/C3</f>
        <v>8.4146326032216018E-4</v>
      </c>
      <c r="E3" s="17">
        <f>1-D3</f>
        <v>0.99915853673967781</v>
      </c>
      <c r="F3" s="17">
        <f>E3</f>
        <v>0.99915853673967781</v>
      </c>
      <c r="G3" s="39">
        <f>100000</f>
        <v>100000</v>
      </c>
      <c r="H3" s="32">
        <f>G3*D3</f>
        <v>84.146326032216024</v>
      </c>
      <c r="I3" s="2">
        <v>0</v>
      </c>
      <c r="J3" s="36">
        <f>H3</f>
        <v>84.146326032216024</v>
      </c>
    </row>
    <row r="4" spans="1:10" x14ac:dyDescent="0.25">
      <c r="A4" s="20" t="s">
        <v>23</v>
      </c>
      <c r="B4" s="5">
        <v>568</v>
      </c>
      <c r="C4" s="5">
        <f>C3-B3</f>
        <v>789625</v>
      </c>
      <c r="D4" s="26">
        <f t="shared" ref="D4:D18" si="0">B4/C4</f>
        <v>7.1932879531423145E-4</v>
      </c>
      <c r="E4" s="17">
        <f t="shared" ref="E4:E18" si="1">1-D4</f>
        <v>0.99928067120468578</v>
      </c>
      <c r="F4" s="17">
        <f>F3*E4</f>
        <v>0.99843981323311692</v>
      </c>
      <c r="G4" s="39">
        <f>G3-H3</f>
        <v>99915.85367396778</v>
      </c>
      <c r="H4" s="33">
        <f>G4*D4</f>
        <v>71.872350656088273</v>
      </c>
      <c r="I4" s="2">
        <v>1</v>
      </c>
      <c r="J4" s="36">
        <f>H4/6</f>
        <v>11.978725109348046</v>
      </c>
    </row>
    <row r="5" spans="1:10" x14ac:dyDescent="0.25">
      <c r="A5" s="20" t="s">
        <v>24</v>
      </c>
      <c r="B5" s="5">
        <v>307</v>
      </c>
      <c r="C5" s="5">
        <f t="shared" ref="C5:C18" si="2">C4-B4</f>
        <v>789057</v>
      </c>
      <c r="D5" s="26">
        <f t="shared" si="0"/>
        <v>3.8907201887823059E-4</v>
      </c>
      <c r="E5" s="17">
        <f t="shared" si="1"/>
        <v>0.99961092798112172</v>
      </c>
      <c r="F5" s="17">
        <f t="shared" ref="F5:F18" si="3">F4*E5</f>
        <v>0.9980513482392539</v>
      </c>
      <c r="G5" s="39">
        <f>G4-H4</f>
        <v>99843.981323311687</v>
      </c>
      <c r="H5" s="33">
        <f>G5*D5</f>
        <v>38.846499386301225</v>
      </c>
      <c r="I5" s="2">
        <v>7</v>
      </c>
      <c r="J5" s="36">
        <f>H5/(I6-I5)</f>
        <v>5.5494999123287467</v>
      </c>
    </row>
    <row r="6" spans="1:10" x14ac:dyDescent="0.25">
      <c r="A6" s="20" t="s">
        <v>26</v>
      </c>
      <c r="B6" s="5">
        <v>137</v>
      </c>
      <c r="C6" s="5">
        <f t="shared" si="2"/>
        <v>788750</v>
      </c>
      <c r="D6" s="26">
        <f t="shared" si="0"/>
        <v>1.7369255150554675E-4</v>
      </c>
      <c r="E6" s="17">
        <f t="shared" si="1"/>
        <v>0.99982630744849443</v>
      </c>
      <c r="F6" s="17">
        <f t="shared" si="3"/>
        <v>0.99787799415404466</v>
      </c>
      <c r="G6" s="39">
        <f t="shared" ref="G6:G19" si="4">G5-H5</f>
        <v>99805.134823925386</v>
      </c>
      <c r="H6" s="33">
        <f t="shared" ref="H6:H18" si="5">G6*D6</f>
        <v>17.335408520922698</v>
      </c>
      <c r="I6" s="2">
        <v>14</v>
      </c>
      <c r="J6" s="36">
        <f t="shared" ref="J6:J17" si="6">H6/(I7-I6)</f>
        <v>2.4764869315603852</v>
      </c>
    </row>
    <row r="7" spans="1:10" x14ac:dyDescent="0.25">
      <c r="A7" s="20" t="s">
        <v>27</v>
      </c>
      <c r="B7" s="5">
        <v>112</v>
      </c>
      <c r="C7" s="5">
        <f t="shared" si="2"/>
        <v>788613</v>
      </c>
      <c r="D7" s="26">
        <f t="shared" si="0"/>
        <v>1.4202149850433611E-4</v>
      </c>
      <c r="E7" s="17">
        <f t="shared" si="1"/>
        <v>0.99985797850149571</v>
      </c>
      <c r="F7" s="17">
        <f t="shared" si="3"/>
        <v>0.99773627402599041</v>
      </c>
      <c r="G7" s="39">
        <f t="shared" si="4"/>
        <v>99787.799415404457</v>
      </c>
      <c r="H7" s="33">
        <f t="shared" si="5"/>
        <v>14.172012805425856</v>
      </c>
      <c r="I7" s="2">
        <v>21</v>
      </c>
      <c r="J7" s="36">
        <f t="shared" si="6"/>
        <v>2.0245732579179796</v>
      </c>
    </row>
    <row r="8" spans="1:10" x14ac:dyDescent="0.25">
      <c r="A8" s="20" t="s">
        <v>25</v>
      </c>
      <c r="B8" s="5">
        <v>276</v>
      </c>
      <c r="C8" s="5">
        <f t="shared" si="2"/>
        <v>788501</v>
      </c>
      <c r="D8" s="26">
        <f t="shared" si="0"/>
        <v>3.5003126185001666E-4</v>
      </c>
      <c r="E8" s="17">
        <f t="shared" si="1"/>
        <v>0.99964996873814993</v>
      </c>
      <c r="F8" s="17">
        <f t="shared" si="3"/>
        <v>0.99738703513899951</v>
      </c>
      <c r="G8" s="39">
        <f t="shared" si="4"/>
        <v>99773.627402599028</v>
      </c>
      <c r="H8" s="33">
        <f t="shared" si="5"/>
        <v>34.92388869908514</v>
      </c>
      <c r="I8" s="2">
        <v>28</v>
      </c>
      <c r="J8" s="36">
        <f t="shared" si="6"/>
        <v>1.0582996575480346</v>
      </c>
    </row>
    <row r="9" spans="1:10" x14ac:dyDescent="0.25">
      <c r="A9" s="20" t="s">
        <v>28</v>
      </c>
      <c r="B9" s="5">
        <v>125</v>
      </c>
      <c r="C9" s="5">
        <f t="shared" si="2"/>
        <v>788225</v>
      </c>
      <c r="D9" s="26">
        <f t="shared" si="0"/>
        <v>1.5858416061403788E-4</v>
      </c>
      <c r="E9" s="17">
        <f t="shared" si="1"/>
        <v>0.99984141583938602</v>
      </c>
      <c r="F9" s="17">
        <f t="shared" si="3"/>
        <v>0.99722886535322475</v>
      </c>
      <c r="G9" s="39">
        <f t="shared" si="4"/>
        <v>99738.703513899949</v>
      </c>
      <c r="H9" s="33">
        <f t="shared" si="5"/>
        <v>15.816978577484214</v>
      </c>
      <c r="I9" s="8">
        <v>61</v>
      </c>
      <c r="J9" s="36">
        <f t="shared" si="6"/>
        <v>0.51858946155685948</v>
      </c>
    </row>
    <row r="10" spans="1:10" x14ac:dyDescent="0.25">
      <c r="A10" s="20" t="s">
        <v>29</v>
      </c>
      <c r="B10" s="5">
        <v>100</v>
      </c>
      <c r="C10" s="5">
        <f t="shared" si="2"/>
        <v>788100</v>
      </c>
      <c r="D10" s="26">
        <f t="shared" si="0"/>
        <v>1.2688745083111279E-4</v>
      </c>
      <c r="E10" s="17">
        <f t="shared" si="1"/>
        <v>0.99987311254916889</v>
      </c>
      <c r="F10" s="17">
        <f t="shared" si="3"/>
        <v>0.99710232952460487</v>
      </c>
      <c r="G10" s="39">
        <f t="shared" si="4"/>
        <v>99722.886535322468</v>
      </c>
      <c r="H10" s="33">
        <f t="shared" si="5"/>
        <v>12.653582861987369</v>
      </c>
      <c r="I10" s="8">
        <v>91.5</v>
      </c>
      <c r="J10" s="36">
        <f t="shared" si="6"/>
        <v>0.41487156924548751</v>
      </c>
    </row>
    <row r="11" spans="1:10" x14ac:dyDescent="0.25">
      <c r="A11" s="20" t="s">
        <v>30</v>
      </c>
      <c r="B11" s="5">
        <v>79</v>
      </c>
      <c r="C11" s="5">
        <f t="shared" si="2"/>
        <v>788000</v>
      </c>
      <c r="D11" s="26">
        <f t="shared" si="0"/>
        <v>1.0025380710659898E-4</v>
      </c>
      <c r="E11" s="17">
        <f t="shared" si="1"/>
        <v>0.99989974619289335</v>
      </c>
      <c r="F11" s="17">
        <f t="shared" si="3"/>
        <v>0.99700236621999516</v>
      </c>
      <c r="G11" s="39">
        <f t="shared" si="4"/>
        <v>99710.232952460487</v>
      </c>
      <c r="H11" s="33">
        <f t="shared" si="5"/>
        <v>9.9963304609700234</v>
      </c>
      <c r="I11" s="8">
        <v>122</v>
      </c>
      <c r="J11" s="36">
        <f t="shared" si="6"/>
        <v>0.32774853970393519</v>
      </c>
    </row>
    <row r="12" spans="1:10" x14ac:dyDescent="0.25">
      <c r="A12" s="20" t="s">
        <v>31</v>
      </c>
      <c r="B12" s="5">
        <v>56</v>
      </c>
      <c r="C12" s="5">
        <f t="shared" si="2"/>
        <v>787921</v>
      </c>
      <c r="D12" s="26">
        <f t="shared" si="0"/>
        <v>7.1073115198097266E-5</v>
      </c>
      <c r="E12" s="17">
        <f t="shared" si="1"/>
        <v>0.99992892688480195</v>
      </c>
      <c r="F12" s="17">
        <f t="shared" si="3"/>
        <v>0.99693150615596804</v>
      </c>
      <c r="G12" s="39">
        <f t="shared" si="4"/>
        <v>99700.236621999517</v>
      </c>
      <c r="H12" s="33">
        <f t="shared" si="5"/>
        <v>7.0860064027129273</v>
      </c>
      <c r="I12" s="8">
        <v>152.5</v>
      </c>
      <c r="J12" s="36">
        <f t="shared" si="6"/>
        <v>0.23232807877747302</v>
      </c>
    </row>
    <row r="13" spans="1:10" x14ac:dyDescent="0.25">
      <c r="A13" s="20" t="s">
        <v>32</v>
      </c>
      <c r="B13" s="5">
        <v>53</v>
      </c>
      <c r="C13" s="5">
        <f t="shared" si="2"/>
        <v>787865</v>
      </c>
      <c r="D13" s="26">
        <f t="shared" si="0"/>
        <v>6.7270408001370791E-5</v>
      </c>
      <c r="E13" s="17">
        <f t="shared" si="1"/>
        <v>0.99993272959199864</v>
      </c>
      <c r="F13" s="17">
        <f t="shared" si="3"/>
        <v>0.99686444216679948</v>
      </c>
      <c r="G13" s="39">
        <f t="shared" si="4"/>
        <v>99693.150615596809</v>
      </c>
      <c r="H13" s="33">
        <f t="shared" si="5"/>
        <v>6.7063989168533071</v>
      </c>
      <c r="I13" s="8">
        <v>183</v>
      </c>
      <c r="J13" s="36">
        <f t="shared" si="6"/>
        <v>0.21988193170010842</v>
      </c>
    </row>
    <row r="14" spans="1:10" x14ac:dyDescent="0.25">
      <c r="A14" s="20" t="s">
        <v>33</v>
      </c>
      <c r="B14" s="5">
        <v>51</v>
      </c>
      <c r="C14" s="5">
        <f t="shared" si="2"/>
        <v>787812</v>
      </c>
      <c r="D14" s="26">
        <f t="shared" si="0"/>
        <v>6.4736256873467279E-5</v>
      </c>
      <c r="E14" s="17">
        <f t="shared" si="1"/>
        <v>0.99993526374312658</v>
      </c>
      <c r="F14" s="17">
        <f t="shared" si="3"/>
        <v>0.99679990889420345</v>
      </c>
      <c r="G14" s="39">
        <f t="shared" si="4"/>
        <v>99686.444216679956</v>
      </c>
      <c r="H14" s="33">
        <f t="shared" si="5"/>
        <v>6.4533272596135607</v>
      </c>
      <c r="I14" s="8">
        <v>213.5</v>
      </c>
      <c r="J14" s="36">
        <f t="shared" si="6"/>
        <v>0.21158450031519871</v>
      </c>
    </row>
    <row r="15" spans="1:10" x14ac:dyDescent="0.25">
      <c r="A15" s="20" t="s">
        <v>34</v>
      </c>
      <c r="B15" s="5">
        <v>39</v>
      </c>
      <c r="C15" s="5">
        <f t="shared" si="2"/>
        <v>787761</v>
      </c>
      <c r="D15" s="26">
        <f t="shared" si="0"/>
        <v>4.95074013565028E-5</v>
      </c>
      <c r="E15" s="17">
        <f t="shared" si="1"/>
        <v>0.99995049259864355</v>
      </c>
      <c r="F15" s="17">
        <f t="shared" si="3"/>
        <v>0.99675055992104178</v>
      </c>
      <c r="G15" s="39">
        <f t="shared" si="4"/>
        <v>99679.99088942034</v>
      </c>
      <c r="H15" s="33">
        <f t="shared" si="5"/>
        <v>4.9348973161750758</v>
      </c>
      <c r="I15" s="8">
        <v>244</v>
      </c>
      <c r="J15" s="36">
        <f t="shared" si="6"/>
        <v>0.16179991200574018</v>
      </c>
    </row>
    <row r="16" spans="1:10" x14ac:dyDescent="0.25">
      <c r="A16" s="20" t="s">
        <v>35</v>
      </c>
      <c r="B16" s="5">
        <v>29</v>
      </c>
      <c r="C16" s="5">
        <f t="shared" si="2"/>
        <v>787722</v>
      </c>
      <c r="D16" s="26">
        <f t="shared" si="0"/>
        <v>3.6815018496373086E-5</v>
      </c>
      <c r="E16" s="17">
        <f t="shared" si="1"/>
        <v>0.99996318498150361</v>
      </c>
      <c r="F16" s="17">
        <f t="shared" si="3"/>
        <v>0.99671386453074196</v>
      </c>
      <c r="G16" s="39">
        <f t="shared" si="4"/>
        <v>99675.055992104171</v>
      </c>
      <c r="H16" s="33">
        <f t="shared" si="5"/>
        <v>3.6695390299763382</v>
      </c>
      <c r="I16" s="8">
        <v>274.5</v>
      </c>
      <c r="J16" s="36">
        <f t="shared" si="6"/>
        <v>0.12031275508119142</v>
      </c>
    </row>
    <row r="17" spans="1:10" x14ac:dyDescent="0.25">
      <c r="A17" s="20" t="s">
        <v>36</v>
      </c>
      <c r="B17" s="5">
        <v>22</v>
      </c>
      <c r="C17" s="5">
        <f t="shared" si="2"/>
        <v>787693</v>
      </c>
      <c r="D17" s="26">
        <f t="shared" si="0"/>
        <v>2.792966295244467E-5</v>
      </c>
      <c r="E17" s="17">
        <f t="shared" si="1"/>
        <v>0.9999720703370476</v>
      </c>
      <c r="F17" s="17">
        <f t="shared" si="3"/>
        <v>0.99668602664844563</v>
      </c>
      <c r="G17" s="39">
        <f t="shared" si="4"/>
        <v>99671.386453074199</v>
      </c>
      <c r="H17" s="33">
        <f t="shared" si="5"/>
        <v>2.7837882296372221</v>
      </c>
      <c r="I17" s="8">
        <v>305</v>
      </c>
      <c r="J17" s="36">
        <f t="shared" si="6"/>
        <v>9.1271745234007287E-2</v>
      </c>
    </row>
    <row r="18" spans="1:10" x14ac:dyDescent="0.25">
      <c r="A18" s="20" t="s">
        <v>37</v>
      </c>
      <c r="B18" s="5">
        <v>24</v>
      </c>
      <c r="C18" s="5">
        <f t="shared" si="2"/>
        <v>787671</v>
      </c>
      <c r="D18" s="26">
        <f t="shared" si="0"/>
        <v>3.0469574225787162E-5</v>
      </c>
      <c r="E18" s="17">
        <f t="shared" si="1"/>
        <v>0.99996953042577419</v>
      </c>
      <c r="F18" s="125">
        <f t="shared" si="3"/>
        <v>0.99665565804957679</v>
      </c>
      <c r="G18" s="39">
        <f t="shared" si="4"/>
        <v>99668.602664844555</v>
      </c>
      <c r="H18" s="33">
        <f t="shared" si="5"/>
        <v>3.0368598868769694</v>
      </c>
      <c r="I18" s="8">
        <v>335.5</v>
      </c>
      <c r="J18" s="36">
        <f>H18/(367-I18)</f>
        <v>9.6408250377046645E-2</v>
      </c>
    </row>
    <row r="19" spans="1:10" ht="13" x14ac:dyDescent="0.3">
      <c r="A19" s="21" t="s">
        <v>0</v>
      </c>
      <c r="B19" s="22">
        <f>SUM(B3:B18)</f>
        <v>2643</v>
      </c>
      <c r="C19" s="22"/>
      <c r="D19" s="27">
        <f>B19/B21</f>
        <v>3.3443419504232625E-3</v>
      </c>
      <c r="E19" s="15"/>
      <c r="F19" s="23">
        <f>1-F18</f>
        <v>3.344341950423213E-3</v>
      </c>
      <c r="G19" s="40">
        <f t="shared" si="4"/>
        <v>99665.565804957674</v>
      </c>
      <c r="H19" s="12">
        <f>SUM(H3:H18)</f>
        <v>334.43419504232622</v>
      </c>
    </row>
    <row r="20" spans="1:10" x14ac:dyDescent="0.25">
      <c r="A20" s="20"/>
      <c r="B20" s="5"/>
      <c r="C20" s="5"/>
    </row>
    <row r="21" spans="1:10" x14ac:dyDescent="0.25">
      <c r="A21" s="9" t="s">
        <v>39</v>
      </c>
      <c r="B21" s="5">
        <v>790290</v>
      </c>
      <c r="C21" s="5"/>
    </row>
    <row r="22" spans="1:10" x14ac:dyDescent="0.25">
      <c r="B22" s="5"/>
      <c r="C22" s="5"/>
    </row>
    <row r="43" spans="1:16" x14ac:dyDescent="0.25">
      <c r="A43" s="2" t="s">
        <v>49</v>
      </c>
    </row>
    <row r="44" spans="1:16" x14ac:dyDescent="0.25">
      <c r="A44" s="2" t="s">
        <v>50</v>
      </c>
      <c r="C44" s="2" t="s">
        <v>51</v>
      </c>
      <c r="D44" s="2" t="s">
        <v>51</v>
      </c>
      <c r="E44" s="2" t="s">
        <v>54</v>
      </c>
      <c r="F44" s="2" t="s">
        <v>57</v>
      </c>
      <c r="G44" s="2" t="s">
        <v>59</v>
      </c>
      <c r="H44" s="9" t="s">
        <v>62</v>
      </c>
      <c r="I44" s="2" t="s">
        <v>63</v>
      </c>
      <c r="J44" s="9" t="s">
        <v>64</v>
      </c>
      <c r="K44" s="2" t="s">
        <v>67</v>
      </c>
      <c r="L44" s="2" t="s">
        <v>64</v>
      </c>
      <c r="M44" s="2" t="s">
        <v>71</v>
      </c>
    </row>
    <row r="45" spans="1:16" x14ac:dyDescent="0.25">
      <c r="C45" s="2" t="s">
        <v>52</v>
      </c>
      <c r="D45" s="2" t="s">
        <v>53</v>
      </c>
      <c r="E45" s="2" t="s">
        <v>55</v>
      </c>
      <c r="F45" s="2" t="s">
        <v>58</v>
      </c>
      <c r="G45" s="2" t="s">
        <v>60</v>
      </c>
      <c r="J45" s="9" t="s">
        <v>65</v>
      </c>
      <c r="K45" s="2" t="s">
        <v>68</v>
      </c>
      <c r="L45" s="2" t="s">
        <v>65</v>
      </c>
    </row>
    <row r="46" spans="1:16" x14ac:dyDescent="0.25">
      <c r="A46" s="2" t="s">
        <v>72</v>
      </c>
      <c r="B46" s="2" t="s">
        <v>73</v>
      </c>
      <c r="E46" s="2" t="s">
        <v>56</v>
      </c>
      <c r="G46" s="2" t="s">
        <v>61</v>
      </c>
      <c r="J46" s="9" t="s">
        <v>66</v>
      </c>
      <c r="K46" s="2" t="s">
        <v>69</v>
      </c>
      <c r="L46" s="2" t="s">
        <v>70</v>
      </c>
      <c r="M46" s="9" t="s">
        <v>74</v>
      </c>
      <c r="N46" s="9" t="s">
        <v>64</v>
      </c>
      <c r="O46" s="9" t="s">
        <v>75</v>
      </c>
      <c r="P46" s="9" t="s">
        <v>64</v>
      </c>
    </row>
    <row r="47" spans="1:16" x14ac:dyDescent="0.25">
      <c r="H47" s="9" t="s">
        <v>43</v>
      </c>
      <c r="I47" s="9" t="s">
        <v>96</v>
      </c>
      <c r="M47" s="9" t="s">
        <v>46</v>
      </c>
      <c r="N47" s="9" t="s">
        <v>65</v>
      </c>
      <c r="O47" s="9"/>
      <c r="P47" s="9" t="s">
        <v>65</v>
      </c>
    </row>
    <row r="48" spans="1:16" x14ac:dyDescent="0.25">
      <c r="N48" s="9" t="s">
        <v>74</v>
      </c>
      <c r="O48" s="9"/>
      <c r="P48" s="9" t="s">
        <v>76</v>
      </c>
    </row>
    <row r="49" spans="1:16" x14ac:dyDescent="0.25">
      <c r="A49" s="2">
        <v>0</v>
      </c>
      <c r="B49" s="2">
        <v>1</v>
      </c>
      <c r="C49" s="2">
        <v>665</v>
      </c>
      <c r="D49" s="2">
        <v>0</v>
      </c>
      <c r="E49" s="24">
        <v>790290</v>
      </c>
      <c r="F49" s="26">
        <v>8.4099999999999995E-4</v>
      </c>
      <c r="G49" s="17">
        <v>3.3000000000000003E-5</v>
      </c>
      <c r="H49" s="38">
        <v>1</v>
      </c>
      <c r="I49" s="34">
        <v>0</v>
      </c>
      <c r="J49" s="18">
        <v>0</v>
      </c>
      <c r="K49" s="2" t="s">
        <v>77</v>
      </c>
      <c r="L49" s="2" t="s">
        <v>77</v>
      </c>
      <c r="M49" s="41">
        <v>8.4099999999999995E-4</v>
      </c>
      <c r="N49" s="17">
        <v>3.3000000000000003E-5</v>
      </c>
      <c r="O49" s="25">
        <v>8.4199999999999998E-4</v>
      </c>
      <c r="P49" s="17">
        <v>3.3000000000000003E-5</v>
      </c>
    </row>
    <row r="50" spans="1:16" x14ac:dyDescent="0.25">
      <c r="A50" s="2">
        <v>1</v>
      </c>
      <c r="B50" s="2">
        <v>7</v>
      </c>
      <c r="C50" s="2">
        <v>568</v>
      </c>
      <c r="D50" s="2">
        <v>0</v>
      </c>
      <c r="E50" s="24">
        <v>789625</v>
      </c>
      <c r="F50" s="26">
        <v>7.1900000000000002E-4</v>
      </c>
      <c r="G50" s="17">
        <v>3.0000000000000001E-5</v>
      </c>
      <c r="H50" s="38">
        <v>0.99919999999999998</v>
      </c>
      <c r="I50" s="34">
        <v>8.4099999999999995E-4</v>
      </c>
      <c r="J50" s="18">
        <v>3.3000000000000003E-5</v>
      </c>
      <c r="K50" s="2" t="s">
        <v>77</v>
      </c>
      <c r="L50" s="2" t="s">
        <v>77</v>
      </c>
      <c r="M50" s="41">
        <v>1.2E-4</v>
      </c>
      <c r="N50" s="17">
        <v>5.0239999999999997E-6</v>
      </c>
      <c r="O50" s="25">
        <v>1.2E-4</v>
      </c>
      <c r="P50" s="17">
        <v>5.0320000000000003E-6</v>
      </c>
    </row>
    <row r="51" spans="1:16" x14ac:dyDescent="0.25">
      <c r="A51" s="2">
        <v>7</v>
      </c>
      <c r="B51" s="2">
        <v>14</v>
      </c>
      <c r="C51" s="2">
        <v>307</v>
      </c>
      <c r="D51" s="2">
        <v>0</v>
      </c>
      <c r="E51" s="24">
        <v>789057</v>
      </c>
      <c r="F51" s="26">
        <v>3.8900000000000002E-4</v>
      </c>
      <c r="G51" s="17">
        <v>2.1999999999999999E-5</v>
      </c>
      <c r="H51" s="38">
        <v>0.99839999999999995</v>
      </c>
      <c r="I51" s="34">
        <v>1.56E-3</v>
      </c>
      <c r="J51" s="18">
        <v>4.3999999999999999E-5</v>
      </c>
      <c r="K51" s="2" t="s">
        <v>77</v>
      </c>
      <c r="L51" s="2" t="s">
        <v>77</v>
      </c>
      <c r="M51" s="41">
        <v>5.5000000000000002E-5</v>
      </c>
      <c r="N51" s="17">
        <v>3.1669999999999999E-6</v>
      </c>
      <c r="O51" s="25">
        <v>5.5999999999999999E-5</v>
      </c>
      <c r="P51" s="17">
        <v>3.1729999999999999E-6</v>
      </c>
    </row>
    <row r="52" spans="1:16" x14ac:dyDescent="0.25">
      <c r="A52" s="2">
        <v>14</v>
      </c>
      <c r="B52" s="2">
        <v>21</v>
      </c>
      <c r="C52" s="2">
        <v>137</v>
      </c>
      <c r="D52" s="2">
        <v>0</v>
      </c>
      <c r="E52" s="24">
        <v>788750</v>
      </c>
      <c r="F52" s="26">
        <v>1.74E-4</v>
      </c>
      <c r="G52" s="17">
        <v>1.5E-5</v>
      </c>
      <c r="H52" s="38">
        <v>0.99809999999999999</v>
      </c>
      <c r="I52" s="34">
        <v>1.9499999999999999E-3</v>
      </c>
      <c r="J52" s="18">
        <v>5.0000000000000002E-5</v>
      </c>
      <c r="K52" s="2" t="s">
        <v>77</v>
      </c>
      <c r="L52" s="2" t="s">
        <v>77</v>
      </c>
      <c r="M52" s="41">
        <v>2.5000000000000001E-5</v>
      </c>
      <c r="N52" s="17">
        <v>2.1160000000000002E-6</v>
      </c>
      <c r="O52" s="25">
        <v>2.5000000000000001E-5</v>
      </c>
      <c r="P52" s="17">
        <v>2.12E-6</v>
      </c>
    </row>
    <row r="53" spans="1:16" x14ac:dyDescent="0.25">
      <c r="A53" s="2">
        <v>21</v>
      </c>
      <c r="B53" s="2">
        <v>28</v>
      </c>
      <c r="C53" s="2">
        <v>112</v>
      </c>
      <c r="D53" s="2">
        <v>0</v>
      </c>
      <c r="E53" s="24">
        <v>788613</v>
      </c>
      <c r="F53" s="26">
        <v>1.4200000000000001E-4</v>
      </c>
      <c r="G53" s="17">
        <v>1.2999999999999999E-5</v>
      </c>
      <c r="H53" s="38">
        <v>0.99790000000000001</v>
      </c>
      <c r="I53" s="34">
        <v>2.1199999999999999E-3</v>
      </c>
      <c r="J53" s="18">
        <v>5.1999999999999997E-5</v>
      </c>
      <c r="K53" s="2" t="s">
        <v>77</v>
      </c>
      <c r="L53" s="2" t="s">
        <v>77</v>
      </c>
      <c r="M53" s="41">
        <v>2.0000000000000002E-5</v>
      </c>
      <c r="N53" s="17">
        <v>1.9130000000000001E-6</v>
      </c>
      <c r="O53" s="25">
        <v>2.0000000000000002E-5</v>
      </c>
      <c r="P53" s="17">
        <v>1.917E-6</v>
      </c>
    </row>
    <row r="54" spans="1:16" x14ac:dyDescent="0.25">
      <c r="A54" s="2">
        <v>28</v>
      </c>
      <c r="B54" s="2">
        <v>61</v>
      </c>
      <c r="C54" s="2">
        <v>276</v>
      </c>
      <c r="D54" s="2">
        <v>0</v>
      </c>
      <c r="E54" s="24">
        <v>788501</v>
      </c>
      <c r="F54" s="26">
        <v>3.5E-4</v>
      </c>
      <c r="G54" s="17">
        <v>2.0999999999999999E-5</v>
      </c>
      <c r="H54" s="38">
        <v>0.99770000000000003</v>
      </c>
      <c r="I54" s="34">
        <v>2.2599999999999999E-3</v>
      </c>
      <c r="J54" s="18">
        <v>5.3000000000000001E-5</v>
      </c>
      <c r="K54" s="2" t="s">
        <v>77</v>
      </c>
      <c r="L54" s="2" t="s">
        <v>77</v>
      </c>
      <c r="M54" s="41">
        <v>1.1E-5</v>
      </c>
      <c r="N54" s="17">
        <v>6.3689999999999999E-7</v>
      </c>
      <c r="O54" s="25">
        <v>1.1E-5</v>
      </c>
      <c r="P54" s="17">
        <v>6.3860000000000001E-7</v>
      </c>
    </row>
    <row r="55" spans="1:16" x14ac:dyDescent="0.25">
      <c r="A55" s="2">
        <v>61</v>
      </c>
      <c r="B55" s="2">
        <v>91</v>
      </c>
      <c r="C55" s="2">
        <v>125</v>
      </c>
      <c r="D55" s="2">
        <v>0</v>
      </c>
      <c r="E55" s="24">
        <v>788225</v>
      </c>
      <c r="F55" s="26">
        <v>1.5899999999999999E-4</v>
      </c>
      <c r="G55" s="17">
        <v>1.4E-5</v>
      </c>
      <c r="H55" s="38">
        <v>0.99739999999999995</v>
      </c>
      <c r="I55" s="34">
        <v>2.6099999999999999E-3</v>
      </c>
      <c r="J55" s="18">
        <v>5.7000000000000003E-5</v>
      </c>
      <c r="K55" s="2" t="s">
        <v>77</v>
      </c>
      <c r="L55" s="2" t="s">
        <v>77</v>
      </c>
      <c r="M55" s="41">
        <v>5.2719999999999997E-6</v>
      </c>
      <c r="N55" s="17">
        <v>4.7150000000000001E-7</v>
      </c>
      <c r="O55" s="25">
        <v>5.2870000000000004E-6</v>
      </c>
      <c r="P55" s="17">
        <v>4.728E-7</v>
      </c>
    </row>
    <row r="56" spans="1:16" x14ac:dyDescent="0.25">
      <c r="A56" s="2">
        <v>91</v>
      </c>
      <c r="B56" s="2">
        <v>122</v>
      </c>
      <c r="C56" s="2">
        <v>100</v>
      </c>
      <c r="D56" s="2">
        <v>0</v>
      </c>
      <c r="E56" s="24">
        <v>788100</v>
      </c>
      <c r="F56" s="26">
        <v>1.27E-4</v>
      </c>
      <c r="G56" s="17">
        <v>1.2999999999999999E-5</v>
      </c>
      <c r="H56" s="38">
        <v>0.99719999999999998</v>
      </c>
      <c r="I56" s="34">
        <v>2.7699999999999999E-3</v>
      </c>
      <c r="J56" s="18">
        <v>5.8999999999999998E-5</v>
      </c>
      <c r="K56" s="2" t="s">
        <v>77</v>
      </c>
      <c r="L56" s="2" t="s">
        <v>77</v>
      </c>
      <c r="M56" s="41">
        <v>4.0820000000000001E-6</v>
      </c>
      <c r="N56" s="17">
        <v>4.0820000000000002E-7</v>
      </c>
      <c r="O56" s="25">
        <v>4.0929999999999996E-6</v>
      </c>
      <c r="P56" s="17">
        <v>4.0929999999999999E-7</v>
      </c>
    </row>
    <row r="57" spans="1:16" x14ac:dyDescent="0.25">
      <c r="A57" s="2">
        <v>122</v>
      </c>
      <c r="B57" s="2">
        <v>152</v>
      </c>
      <c r="C57" s="2">
        <v>79</v>
      </c>
      <c r="D57" s="2">
        <v>0</v>
      </c>
      <c r="E57" s="24">
        <v>788000</v>
      </c>
      <c r="F57" s="26">
        <v>1E-4</v>
      </c>
      <c r="G57" s="17">
        <v>1.1E-5</v>
      </c>
      <c r="H57" s="38">
        <v>0.99709999999999999</v>
      </c>
      <c r="I57" s="34">
        <v>2.8999999999999998E-3</v>
      </c>
      <c r="J57" s="18">
        <v>6.0000000000000002E-5</v>
      </c>
      <c r="K57" s="2" t="s">
        <v>77</v>
      </c>
      <c r="L57" s="2" t="s">
        <v>77</v>
      </c>
      <c r="M57" s="41">
        <v>3.332E-6</v>
      </c>
      <c r="N57" s="17">
        <v>3.749E-7</v>
      </c>
      <c r="O57" s="25">
        <v>3.3419999999999999E-6</v>
      </c>
      <c r="P57" s="17">
        <v>3.7599999999999998E-7</v>
      </c>
    </row>
    <row r="58" spans="1:16" x14ac:dyDescent="0.25">
      <c r="A58" s="2">
        <v>152</v>
      </c>
      <c r="B58" s="2">
        <v>182</v>
      </c>
      <c r="C58" s="2">
        <v>56</v>
      </c>
      <c r="D58" s="2">
        <v>0</v>
      </c>
      <c r="E58" s="24">
        <v>787921</v>
      </c>
      <c r="F58" s="26">
        <v>7.1000000000000005E-5</v>
      </c>
      <c r="G58" s="17">
        <v>9.4970000000000007E-6</v>
      </c>
      <c r="H58" s="38">
        <v>0.997</v>
      </c>
      <c r="I58" s="34">
        <v>3.0000000000000001E-3</v>
      </c>
      <c r="J58" s="18">
        <v>6.0999999999999999E-5</v>
      </c>
      <c r="K58" s="2" t="s">
        <v>77</v>
      </c>
      <c r="L58" s="2" t="s">
        <v>77</v>
      </c>
      <c r="M58" s="41">
        <v>2.362E-6</v>
      </c>
      <c r="N58" s="17">
        <v>3.1559999999999999E-7</v>
      </c>
      <c r="O58" s="25">
        <v>2.3690000000000001E-6</v>
      </c>
      <c r="P58" s="17">
        <v>0</v>
      </c>
    </row>
    <row r="59" spans="1:16" x14ac:dyDescent="0.25">
      <c r="A59" s="2">
        <v>182</v>
      </c>
      <c r="B59" s="2">
        <v>213</v>
      </c>
      <c r="C59" s="2">
        <v>53</v>
      </c>
      <c r="D59" s="2">
        <v>0</v>
      </c>
      <c r="E59" s="24">
        <v>787865</v>
      </c>
      <c r="F59" s="26">
        <v>6.7000000000000002E-5</v>
      </c>
      <c r="G59" s="17">
        <v>9.2399999999999996E-6</v>
      </c>
      <c r="H59" s="38">
        <v>0.99690000000000001</v>
      </c>
      <c r="I59" s="34">
        <v>3.0699999999999998E-3</v>
      </c>
      <c r="J59" s="18">
        <v>6.2000000000000003E-5</v>
      </c>
      <c r="K59" s="2" t="s">
        <v>77</v>
      </c>
      <c r="L59" s="2" t="s">
        <v>77</v>
      </c>
      <c r="M59" s="41">
        <v>2.1629999999999999E-6</v>
      </c>
      <c r="N59" s="17">
        <v>2.9709999999999998E-7</v>
      </c>
      <c r="O59" s="25">
        <v>2.17E-6</v>
      </c>
      <c r="P59" s="17">
        <v>0</v>
      </c>
    </row>
    <row r="60" spans="1:16" x14ac:dyDescent="0.25">
      <c r="A60" s="2">
        <v>213</v>
      </c>
      <c r="B60" s="2">
        <v>243</v>
      </c>
      <c r="C60" s="2">
        <v>51</v>
      </c>
      <c r="D60" s="2">
        <v>0</v>
      </c>
      <c r="E60" s="24">
        <v>787812</v>
      </c>
      <c r="F60" s="26">
        <v>6.4999999999999994E-5</v>
      </c>
      <c r="G60" s="17">
        <v>9.0650000000000005E-6</v>
      </c>
      <c r="H60" s="38">
        <v>0.99690000000000001</v>
      </c>
      <c r="I60" s="34">
        <v>3.14E-3</v>
      </c>
      <c r="J60" s="18">
        <v>6.3E-5</v>
      </c>
      <c r="K60" s="2" t="s">
        <v>77</v>
      </c>
      <c r="L60" s="2" t="s">
        <v>77</v>
      </c>
      <c r="M60" s="41">
        <v>2.1509999999999998E-6</v>
      </c>
      <c r="N60" s="17">
        <v>3.0120000000000002E-7</v>
      </c>
      <c r="O60" s="25">
        <v>2.1579999999999999E-6</v>
      </c>
      <c r="P60" s="17">
        <v>0</v>
      </c>
    </row>
    <row r="61" spans="1:16" x14ac:dyDescent="0.25">
      <c r="A61" s="2">
        <v>243</v>
      </c>
      <c r="B61" s="2">
        <v>274</v>
      </c>
      <c r="C61" s="2">
        <v>39</v>
      </c>
      <c r="D61" s="2">
        <v>0</v>
      </c>
      <c r="E61" s="24">
        <v>787761</v>
      </c>
      <c r="F61" s="26">
        <v>5.0000000000000002E-5</v>
      </c>
      <c r="G61" s="17">
        <v>7.9270000000000005E-6</v>
      </c>
      <c r="H61" s="38">
        <v>0.99680000000000002</v>
      </c>
      <c r="I61" s="34">
        <v>3.2000000000000002E-3</v>
      </c>
      <c r="J61" s="18">
        <v>6.3999999999999997E-5</v>
      </c>
      <c r="K61" s="2" t="s">
        <v>77</v>
      </c>
      <c r="L61" s="2" t="s">
        <v>77</v>
      </c>
      <c r="M61" s="41">
        <v>1.592E-6</v>
      </c>
      <c r="N61" s="17">
        <v>2.5489999999999999E-7</v>
      </c>
      <c r="O61" s="25">
        <v>1.5969999999999999E-6</v>
      </c>
      <c r="P61" s="17">
        <v>0</v>
      </c>
    </row>
    <row r="62" spans="1:16" x14ac:dyDescent="0.25">
      <c r="A62" s="2">
        <v>274</v>
      </c>
      <c r="B62" s="2">
        <v>304</v>
      </c>
      <c r="C62" s="2">
        <v>29</v>
      </c>
      <c r="D62" s="2">
        <v>0</v>
      </c>
      <c r="E62" s="24">
        <v>787722</v>
      </c>
      <c r="F62" s="26">
        <v>3.6999999999999998E-5</v>
      </c>
      <c r="G62" s="17">
        <v>6.8360000000000003E-6</v>
      </c>
      <c r="H62" s="38">
        <v>0.99680000000000002</v>
      </c>
      <c r="I62" s="34">
        <v>3.2499999999999999E-3</v>
      </c>
      <c r="J62" s="18">
        <v>6.3999999999999997E-5</v>
      </c>
      <c r="K62" s="2" t="s">
        <v>77</v>
      </c>
      <c r="L62" s="2" t="s">
        <v>77</v>
      </c>
      <c r="M62" s="41">
        <v>1.223E-6</v>
      </c>
      <c r="N62" s="17">
        <v>2.2709999999999999E-7</v>
      </c>
      <c r="O62" s="25">
        <v>1.2270000000000001E-6</v>
      </c>
      <c r="P62" s="17">
        <v>0</v>
      </c>
    </row>
    <row r="63" spans="1:16" x14ac:dyDescent="0.25">
      <c r="A63" s="2">
        <v>304</v>
      </c>
      <c r="B63" s="2">
        <v>335</v>
      </c>
      <c r="C63" s="2">
        <v>22</v>
      </c>
      <c r="D63" s="2">
        <v>0</v>
      </c>
      <c r="E63" s="24">
        <v>787693</v>
      </c>
      <c r="F63" s="26">
        <v>2.8E-5</v>
      </c>
      <c r="G63" s="17">
        <v>5.9549999999999997E-6</v>
      </c>
      <c r="H63" s="38">
        <v>0.99670000000000003</v>
      </c>
      <c r="I63" s="34">
        <v>3.29E-3</v>
      </c>
      <c r="J63" s="18">
        <v>6.3999999999999997E-5</v>
      </c>
      <c r="K63" s="2" t="s">
        <v>77</v>
      </c>
      <c r="L63" s="2" t="s">
        <v>77</v>
      </c>
      <c r="M63" s="41">
        <v>8.9800000000000002E-7</v>
      </c>
      <c r="N63" s="17">
        <v>1.9149999999999999E-7</v>
      </c>
      <c r="O63" s="25">
        <v>9.0100000000000003E-7</v>
      </c>
      <c r="P63" s="17">
        <v>0</v>
      </c>
    </row>
    <row r="64" spans="1:16" x14ac:dyDescent="0.25">
      <c r="A64" s="2">
        <v>335</v>
      </c>
      <c r="B64" s="2">
        <v>366</v>
      </c>
      <c r="C64" s="2">
        <v>24</v>
      </c>
      <c r="D64" s="2">
        <v>0</v>
      </c>
      <c r="E64" s="24">
        <v>787671</v>
      </c>
      <c r="F64" s="26">
        <v>3.0000000000000001E-5</v>
      </c>
      <c r="G64" s="17">
        <v>6.2190000000000001E-6</v>
      </c>
      <c r="H64" s="38">
        <v>0.99670000000000003</v>
      </c>
      <c r="I64" s="34">
        <v>3.31E-3</v>
      </c>
      <c r="J64" s="18">
        <v>6.4999999999999994E-5</v>
      </c>
      <c r="K64" s="2" t="s">
        <v>77</v>
      </c>
      <c r="L64" s="2" t="s">
        <v>77</v>
      </c>
      <c r="M64" s="41">
        <v>9.795999999999999E-7</v>
      </c>
      <c r="N64" s="17">
        <v>1.9999999999999999E-7</v>
      </c>
      <c r="O64" s="25">
        <v>9.8289999999999994E-7</v>
      </c>
      <c r="P64" s="17">
        <v>0</v>
      </c>
    </row>
    <row r="65" spans="1:16" x14ac:dyDescent="0.25">
      <c r="A65" s="2">
        <v>366</v>
      </c>
      <c r="B65" s="2" t="s">
        <v>77</v>
      </c>
      <c r="C65" s="2">
        <v>0</v>
      </c>
      <c r="D65" s="2">
        <v>787647</v>
      </c>
      <c r="E65" s="24">
        <v>393823.5</v>
      </c>
      <c r="F65" s="26">
        <v>0</v>
      </c>
      <c r="G65" s="17">
        <v>0</v>
      </c>
      <c r="H65" s="38">
        <v>0.99670000000000003</v>
      </c>
      <c r="I65" s="34">
        <v>3.3400000000000001E-3</v>
      </c>
      <c r="J65" s="18">
        <v>6.4999999999999994E-5</v>
      </c>
      <c r="K65" s="2" t="s">
        <v>77</v>
      </c>
      <c r="L65" s="2" t="s">
        <v>77</v>
      </c>
      <c r="M65" s="18" t="s">
        <v>77</v>
      </c>
      <c r="N65" s="2" t="s">
        <v>77</v>
      </c>
      <c r="O65" s="2" t="s">
        <v>77</v>
      </c>
      <c r="P65" s="2" t="s">
        <v>77</v>
      </c>
    </row>
    <row r="68" spans="1:16" x14ac:dyDescent="0.25">
      <c r="A68" s="2" t="s">
        <v>78</v>
      </c>
      <c r="B68" s="2" t="s">
        <v>79</v>
      </c>
      <c r="C68" s="2" t="s">
        <v>78</v>
      </c>
      <c r="D68" s="2" t="s">
        <v>80</v>
      </c>
      <c r="E68" s="9" t="s">
        <v>81</v>
      </c>
      <c r="F68" s="2" t="s">
        <v>82</v>
      </c>
      <c r="G68" s="2" t="s">
        <v>78</v>
      </c>
      <c r="H68" s="2" t="s">
        <v>80</v>
      </c>
      <c r="I68" s="2" t="s">
        <v>82</v>
      </c>
      <c r="J68" s="2" t="s">
        <v>78</v>
      </c>
      <c r="K68" s="2" t="s">
        <v>80</v>
      </c>
    </row>
    <row r="69" spans="1:16" x14ac:dyDescent="0.25">
      <c r="A69" s="2" t="s">
        <v>83</v>
      </c>
      <c r="B69" s="2" t="s">
        <v>84</v>
      </c>
      <c r="C69" s="2" t="s">
        <v>85</v>
      </c>
      <c r="D69" s="2" t="s">
        <v>85</v>
      </c>
      <c r="E69" s="9" t="s">
        <v>86</v>
      </c>
      <c r="F69" s="2" t="s">
        <v>87</v>
      </c>
      <c r="G69" s="2" t="s">
        <v>88</v>
      </c>
      <c r="H69" s="2" t="s">
        <v>88</v>
      </c>
      <c r="I69" s="2" t="s">
        <v>89</v>
      </c>
      <c r="J69" s="2" t="s">
        <v>90</v>
      </c>
      <c r="K69" s="2" t="s">
        <v>90</v>
      </c>
    </row>
    <row r="70" spans="1:16" x14ac:dyDescent="0.25">
      <c r="A70" s="2" t="s">
        <v>91</v>
      </c>
      <c r="B70" s="2" t="s">
        <v>92</v>
      </c>
      <c r="C70" s="2" t="s">
        <v>93</v>
      </c>
      <c r="D70" s="2" t="s">
        <v>93</v>
      </c>
      <c r="E70" s="9" t="s">
        <v>94</v>
      </c>
      <c r="F70" s="2" t="s">
        <v>95</v>
      </c>
      <c r="I70" s="2" t="s">
        <v>95</v>
      </c>
      <c r="J70" s="2" t="s">
        <v>93</v>
      </c>
      <c r="K70" s="2" t="s">
        <v>93</v>
      </c>
    </row>
    <row r="71" spans="1:16" x14ac:dyDescent="0.25">
      <c r="B71" s="2" t="s">
        <v>66</v>
      </c>
      <c r="E71" s="9" t="s">
        <v>91</v>
      </c>
    </row>
    <row r="72" spans="1:16" x14ac:dyDescent="0.25">
      <c r="A72" s="2">
        <v>0</v>
      </c>
      <c r="B72" s="28">
        <v>1</v>
      </c>
      <c r="C72" s="30" t="s">
        <v>77</v>
      </c>
      <c r="D72" s="30" t="s">
        <v>77</v>
      </c>
      <c r="E72" s="2">
        <v>0.5</v>
      </c>
      <c r="F72" s="37">
        <v>8.4146299999999998E-4</v>
      </c>
      <c r="G72" s="16">
        <v>7.7753499999999999E-4</v>
      </c>
      <c r="H72" s="16">
        <v>9.0539099999999996E-4</v>
      </c>
      <c r="I72" s="42">
        <v>8.4181700000000002E-4</v>
      </c>
      <c r="J72" s="16">
        <v>7.7783599999999996E-4</v>
      </c>
      <c r="K72" s="16">
        <v>9.0579899999999999E-4</v>
      </c>
    </row>
    <row r="73" spans="1:16" x14ac:dyDescent="0.25">
      <c r="A73" s="2">
        <v>1</v>
      </c>
      <c r="B73" s="29">
        <v>0.99916000000000005</v>
      </c>
      <c r="C73" s="31">
        <v>0.99909000000000003</v>
      </c>
      <c r="D73" s="31">
        <v>0.99922</v>
      </c>
      <c r="E73" s="2">
        <v>4</v>
      </c>
      <c r="F73" s="37">
        <v>1.19787E-4</v>
      </c>
      <c r="G73" s="16">
        <v>1.0993999999999999E-4</v>
      </c>
      <c r="H73" s="16">
        <v>1.2963499999999999E-4</v>
      </c>
      <c r="I73" s="42">
        <v>1.19931E-4</v>
      </c>
      <c r="J73" s="16">
        <v>1.10068E-4</v>
      </c>
      <c r="K73" s="16">
        <v>1.29794E-4</v>
      </c>
    </row>
    <row r="74" spans="1:16" x14ac:dyDescent="0.25">
      <c r="A74" s="2">
        <v>7</v>
      </c>
      <c r="B74" s="29">
        <v>0.99843999999999999</v>
      </c>
      <c r="C74" s="31">
        <v>0.99834999999999996</v>
      </c>
      <c r="D74" s="31">
        <v>0.99851999999999996</v>
      </c>
      <c r="E74" s="2">
        <v>10.5</v>
      </c>
      <c r="F74" s="37">
        <v>5.5495000000000003E-5</v>
      </c>
      <c r="G74" s="16">
        <v>4.9288E-5</v>
      </c>
      <c r="H74" s="16">
        <v>6.1702E-5</v>
      </c>
      <c r="I74" s="42">
        <v>5.5593000000000001E-5</v>
      </c>
      <c r="J74" s="16">
        <v>4.9373999999999999E-5</v>
      </c>
      <c r="K74" s="16">
        <v>6.1810999999999995E-5</v>
      </c>
    </row>
    <row r="75" spans="1:16" x14ac:dyDescent="0.25">
      <c r="A75" s="2">
        <v>14</v>
      </c>
      <c r="B75" s="29">
        <v>0.99804999999999999</v>
      </c>
      <c r="C75" s="31">
        <v>0.99795</v>
      </c>
      <c r="D75" s="31">
        <v>0.99814999999999998</v>
      </c>
      <c r="E75" s="2">
        <v>17.5</v>
      </c>
      <c r="F75" s="37">
        <v>2.4765000000000001E-5</v>
      </c>
      <c r="G75" s="16">
        <v>2.0618000000000001E-5</v>
      </c>
      <c r="H75" s="16">
        <v>2.8911000000000002E-5</v>
      </c>
      <c r="I75" s="42">
        <v>2.4814999999999999E-5</v>
      </c>
      <c r="J75" s="16">
        <v>2.0659999999999999E-5</v>
      </c>
      <c r="K75" s="16">
        <v>2.8971000000000001E-5</v>
      </c>
    </row>
    <row r="76" spans="1:16" x14ac:dyDescent="0.25">
      <c r="A76" s="2">
        <v>21</v>
      </c>
      <c r="B76" s="29">
        <v>0.99787999999999999</v>
      </c>
      <c r="C76" s="31">
        <v>0.99777000000000005</v>
      </c>
      <c r="D76" s="31">
        <v>0.99797999999999998</v>
      </c>
      <c r="E76" s="2">
        <v>24.5</v>
      </c>
      <c r="F76" s="37">
        <v>2.0245999999999999E-5</v>
      </c>
      <c r="G76" s="16">
        <v>1.6497000000000001E-5</v>
      </c>
      <c r="H76" s="16">
        <v>2.3995E-5</v>
      </c>
      <c r="I76" s="42">
        <v>2.0290000000000001E-5</v>
      </c>
      <c r="J76" s="16">
        <v>1.6532E-5</v>
      </c>
      <c r="K76" s="16">
        <v>2.4048000000000001E-5</v>
      </c>
    </row>
    <row r="77" spans="1:16" x14ac:dyDescent="0.25">
      <c r="A77" s="2">
        <v>28</v>
      </c>
      <c r="B77" s="29">
        <v>0.99773999999999996</v>
      </c>
      <c r="C77" s="31">
        <v>0.99763000000000002</v>
      </c>
      <c r="D77" s="31">
        <v>0.99783999999999995</v>
      </c>
      <c r="E77" s="2">
        <v>44.5</v>
      </c>
      <c r="F77" s="37">
        <v>1.0583E-5</v>
      </c>
      <c r="G77" s="16">
        <v>9.3349999999999996E-6</v>
      </c>
      <c r="H77" s="16">
        <v>1.1831000000000001E-5</v>
      </c>
      <c r="I77" s="42">
        <v>1.0609E-5</v>
      </c>
      <c r="J77" s="16">
        <v>9.3570000000000004E-6</v>
      </c>
      <c r="K77" s="16">
        <v>1.186E-5</v>
      </c>
    </row>
    <row r="78" spans="1:16" x14ac:dyDescent="0.25">
      <c r="A78" s="2">
        <v>61</v>
      </c>
      <c r="B78" s="29">
        <v>0.99739</v>
      </c>
      <c r="C78" s="31">
        <v>0.99726999999999999</v>
      </c>
      <c r="D78" s="31">
        <v>0.99750000000000005</v>
      </c>
      <c r="E78" s="2">
        <v>76</v>
      </c>
      <c r="F78" s="37">
        <v>5.2719999999999997E-6</v>
      </c>
      <c r="G78" s="16">
        <v>4.3479999999999997E-6</v>
      </c>
      <c r="H78" s="16">
        <v>6.1970000000000001E-6</v>
      </c>
      <c r="I78" s="42">
        <v>5.2870000000000004E-6</v>
      </c>
      <c r="J78" s="16">
        <v>4.3599999999999998E-6</v>
      </c>
      <c r="K78" s="16">
        <v>6.2129999999999996E-6</v>
      </c>
    </row>
    <row r="79" spans="1:16" x14ac:dyDescent="0.25">
      <c r="A79" s="2">
        <v>91</v>
      </c>
      <c r="B79" s="29">
        <v>0.99722999999999995</v>
      </c>
      <c r="C79" s="31">
        <v>0.99711000000000005</v>
      </c>
      <c r="D79" s="31">
        <v>0.99734</v>
      </c>
      <c r="E79" s="2">
        <v>106.5</v>
      </c>
      <c r="F79" s="37">
        <v>4.0820000000000001E-6</v>
      </c>
      <c r="G79" s="16">
        <v>3.2820000000000001E-6</v>
      </c>
      <c r="H79" s="16">
        <v>4.882E-6</v>
      </c>
      <c r="I79" s="42">
        <v>4.0929999999999996E-6</v>
      </c>
      <c r="J79" s="16">
        <v>3.2909999999999999E-6</v>
      </c>
      <c r="K79" s="16">
        <v>4.8960000000000002E-6</v>
      </c>
    </row>
    <row r="80" spans="1:16" x14ac:dyDescent="0.25">
      <c r="A80" s="2">
        <v>122</v>
      </c>
      <c r="B80" s="29">
        <v>0.99709999999999999</v>
      </c>
      <c r="C80" s="31">
        <v>0.99697999999999998</v>
      </c>
      <c r="D80" s="31">
        <v>0.99722</v>
      </c>
      <c r="E80" s="2">
        <v>137</v>
      </c>
      <c r="F80" s="37">
        <v>3.332E-6</v>
      </c>
      <c r="G80" s="16">
        <v>2.5969999999999999E-6</v>
      </c>
      <c r="H80" s="16">
        <v>4.0670000000000002E-6</v>
      </c>
      <c r="I80" s="42">
        <v>3.3419999999999999E-6</v>
      </c>
      <c r="J80" s="16">
        <v>2.605E-6</v>
      </c>
      <c r="K80" s="16">
        <v>4.0790000000000002E-6</v>
      </c>
    </row>
    <row r="81" spans="1:11" x14ac:dyDescent="0.25">
      <c r="A81" s="2">
        <v>152</v>
      </c>
      <c r="B81" s="29">
        <v>0.997</v>
      </c>
      <c r="C81" s="31">
        <v>0.99687999999999999</v>
      </c>
      <c r="D81" s="31">
        <v>0.99712000000000001</v>
      </c>
      <c r="E81" s="2">
        <v>167</v>
      </c>
      <c r="F81" s="37">
        <v>2.362E-6</v>
      </c>
      <c r="G81" s="16">
        <v>1.7430000000000001E-6</v>
      </c>
      <c r="H81" s="16">
        <v>2.9809999999999999E-6</v>
      </c>
      <c r="I81" s="42">
        <v>2.3690000000000001E-6</v>
      </c>
      <c r="J81" s="16">
        <v>2.3690000000000001E-6</v>
      </c>
      <c r="K81" s="16">
        <v>2.3690000000000001E-6</v>
      </c>
    </row>
    <row r="82" spans="1:11" x14ac:dyDescent="0.25">
      <c r="A82" s="2">
        <v>182</v>
      </c>
      <c r="B82" s="29">
        <v>0.99692999999999998</v>
      </c>
      <c r="C82" s="31">
        <v>0.99680999999999997</v>
      </c>
      <c r="D82" s="31">
        <v>0.99704999999999999</v>
      </c>
      <c r="E82" s="2">
        <v>197.5</v>
      </c>
      <c r="F82" s="37">
        <v>2.1629999999999999E-6</v>
      </c>
      <c r="G82" s="16">
        <v>1.581E-6</v>
      </c>
      <c r="H82" s="16">
        <v>2.7460000000000001E-6</v>
      </c>
      <c r="I82" s="42">
        <v>2.17E-6</v>
      </c>
      <c r="J82" s="16">
        <v>2.17E-6</v>
      </c>
      <c r="K82" s="16">
        <v>2.17E-6</v>
      </c>
    </row>
    <row r="83" spans="1:11" x14ac:dyDescent="0.25">
      <c r="A83" s="2">
        <v>213</v>
      </c>
      <c r="B83" s="29">
        <v>0.99685999999999997</v>
      </c>
      <c r="C83" s="31">
        <v>0.99673999999999996</v>
      </c>
      <c r="D83" s="31">
        <v>0.99699000000000004</v>
      </c>
      <c r="E83" s="2">
        <v>228</v>
      </c>
      <c r="F83" s="37">
        <v>2.1509999999999998E-6</v>
      </c>
      <c r="G83" s="16">
        <v>1.561E-6</v>
      </c>
      <c r="H83" s="16">
        <v>2.7410000000000001E-6</v>
      </c>
      <c r="I83" s="42">
        <v>2.1579999999999999E-6</v>
      </c>
      <c r="J83" s="16">
        <v>2.1579999999999999E-6</v>
      </c>
      <c r="K83" s="16">
        <v>2.1579999999999999E-6</v>
      </c>
    </row>
    <row r="84" spans="1:11" x14ac:dyDescent="0.25">
      <c r="A84" s="2">
        <v>243</v>
      </c>
      <c r="B84" s="29">
        <v>0.99680000000000002</v>
      </c>
      <c r="C84" s="31">
        <v>0.99666999999999994</v>
      </c>
      <c r="D84" s="31">
        <v>0.99692000000000003</v>
      </c>
      <c r="E84" s="2">
        <v>258.5</v>
      </c>
      <c r="F84" s="37">
        <v>1.592E-6</v>
      </c>
      <c r="G84" s="16">
        <v>1.0920000000000001E-6</v>
      </c>
      <c r="H84" s="16">
        <v>2.092E-6</v>
      </c>
      <c r="I84" s="42">
        <v>1.5969999999999999E-6</v>
      </c>
      <c r="J84" s="16">
        <v>1.5969999999999999E-6</v>
      </c>
      <c r="K84" s="16">
        <v>1.5969999999999999E-6</v>
      </c>
    </row>
    <row r="85" spans="1:11" x14ac:dyDescent="0.25">
      <c r="A85" s="2">
        <v>274</v>
      </c>
      <c r="B85" s="29">
        <v>0.99675000000000002</v>
      </c>
      <c r="C85" s="31">
        <v>0.99661999999999995</v>
      </c>
      <c r="D85" s="31">
        <v>0.99687000000000003</v>
      </c>
      <c r="E85" s="2">
        <v>289</v>
      </c>
      <c r="F85" s="37">
        <v>1.223E-6</v>
      </c>
      <c r="G85" s="16">
        <v>7.7800000000000001E-7</v>
      </c>
      <c r="H85" s="16">
        <v>1.668E-6</v>
      </c>
      <c r="I85" s="42">
        <v>1.2270000000000001E-6</v>
      </c>
      <c r="J85" s="16">
        <v>1.2270000000000001E-6</v>
      </c>
      <c r="K85" s="16">
        <v>1.2270000000000001E-6</v>
      </c>
    </row>
    <row r="86" spans="1:11" x14ac:dyDescent="0.25">
      <c r="A86" s="2">
        <v>304</v>
      </c>
      <c r="B86" s="29">
        <v>0.99670999999999998</v>
      </c>
      <c r="C86" s="31">
        <v>0.99658999999999998</v>
      </c>
      <c r="D86" s="31">
        <v>0.99683999999999995</v>
      </c>
      <c r="E86" s="2">
        <v>319.5</v>
      </c>
      <c r="F86" s="37">
        <v>8.9800000000000002E-7</v>
      </c>
      <c r="G86" s="16">
        <v>5.2300000000000001E-7</v>
      </c>
      <c r="H86" s="16">
        <v>1.2729999999999999E-6</v>
      </c>
      <c r="I86" s="42">
        <v>9.0100000000000003E-7</v>
      </c>
      <c r="J86" s="16">
        <v>9.0100000000000003E-7</v>
      </c>
      <c r="K86" s="16">
        <v>9.0100000000000003E-7</v>
      </c>
    </row>
    <row r="87" spans="1:11" x14ac:dyDescent="0.25">
      <c r="A87" s="2">
        <v>335</v>
      </c>
      <c r="B87" s="29">
        <v>0.99668999999999996</v>
      </c>
      <c r="C87" s="31">
        <v>0.99656</v>
      </c>
      <c r="D87" s="31">
        <v>0.99680999999999997</v>
      </c>
      <c r="E87" s="2">
        <v>350.5</v>
      </c>
      <c r="F87" s="37">
        <v>9.7999999999999993E-7</v>
      </c>
      <c r="G87" s="16">
        <v>5.8800000000000002E-7</v>
      </c>
      <c r="H87" s="16">
        <v>1.372E-6</v>
      </c>
      <c r="I87" s="42">
        <v>9.8299999999999995E-7</v>
      </c>
      <c r="J87" s="16">
        <v>9.8299999999999995E-7</v>
      </c>
      <c r="K87" s="16">
        <v>9.8299999999999995E-7</v>
      </c>
    </row>
    <row r="88" spans="1:11" x14ac:dyDescent="0.25">
      <c r="A88" s="2">
        <v>366</v>
      </c>
      <c r="B88" s="29">
        <v>0.99665999999999999</v>
      </c>
      <c r="C88" s="31">
        <v>0.99653000000000003</v>
      </c>
      <c r="D88" s="31">
        <v>0.99678</v>
      </c>
      <c r="E88" s="9" t="s">
        <v>77</v>
      </c>
      <c r="F88" s="9" t="s">
        <v>77</v>
      </c>
      <c r="G88" s="9" t="s">
        <v>77</v>
      </c>
      <c r="H88" s="9" t="s">
        <v>77</v>
      </c>
      <c r="I88" s="9" t="s">
        <v>77</v>
      </c>
      <c r="J88" s="9" t="s">
        <v>77</v>
      </c>
      <c r="K88" s="9" t="s">
        <v>77</v>
      </c>
    </row>
    <row r="92" spans="1:11" ht="13" x14ac:dyDescent="0.3">
      <c r="A92" s="3" t="s">
        <v>97</v>
      </c>
    </row>
    <row r="93" spans="1:11" ht="13" x14ac:dyDescent="0.3">
      <c r="A93" s="3" t="s">
        <v>106</v>
      </c>
    </row>
    <row r="94" spans="1:11" ht="13" x14ac:dyDescent="0.3">
      <c r="A94" s="3" t="s">
        <v>98</v>
      </c>
    </row>
    <row r="95" spans="1:11" ht="13" x14ac:dyDescent="0.3">
      <c r="A95" s="3" t="s">
        <v>99</v>
      </c>
    </row>
    <row r="96" spans="1:11" ht="13" x14ac:dyDescent="0.3">
      <c r="A96" s="3" t="s">
        <v>100</v>
      </c>
    </row>
    <row r="97" spans="1:1" ht="13" x14ac:dyDescent="0.3">
      <c r="A97" s="3" t="s">
        <v>101</v>
      </c>
    </row>
    <row r="98" spans="1:1" ht="13" x14ac:dyDescent="0.3">
      <c r="A98" s="3" t="s">
        <v>107</v>
      </c>
    </row>
    <row r="99" spans="1:1" ht="13" x14ac:dyDescent="0.3">
      <c r="A99" s="3" t="s">
        <v>102</v>
      </c>
    </row>
    <row r="100" spans="1:1" ht="13" x14ac:dyDescent="0.3">
      <c r="A100" s="3" t="s">
        <v>103</v>
      </c>
    </row>
    <row r="101" spans="1:1" ht="13" x14ac:dyDescent="0.3">
      <c r="A101" s="3" t="s">
        <v>104</v>
      </c>
    </row>
    <row r="102" spans="1:1" ht="13" x14ac:dyDescent="0.3">
      <c r="A102" s="3" t="s">
        <v>105</v>
      </c>
    </row>
  </sheetData>
  <pageMargins left="0.7" right="0.7" top="0.75" bottom="0.75" header="0.3" footer="0.3"/>
  <ignoredErrors>
    <ignoredError sqref="F4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20"/>
  <sheetViews>
    <sheetView topLeftCell="A4" workbookViewId="0">
      <selection activeCell="M15" sqref="M15"/>
    </sheetView>
  </sheetViews>
  <sheetFormatPr baseColWidth="10" defaultColWidth="11.36328125" defaultRowHeight="13" x14ac:dyDescent="0.3"/>
  <cols>
    <col min="1" max="1" width="10.7265625" style="144" customWidth="1"/>
    <col min="2" max="2" width="8.1796875" style="145" bestFit="1" customWidth="1"/>
    <col min="3" max="3" width="8.81640625" style="145" bestFit="1" customWidth="1"/>
    <col min="4" max="4" width="6.1796875" style="145" bestFit="1" customWidth="1"/>
    <col min="5" max="5" width="8.1796875" style="145" bestFit="1" customWidth="1"/>
    <col min="6" max="6" width="8.81640625" style="145" bestFit="1" customWidth="1"/>
    <col min="7" max="7" width="6.1796875" style="145" bestFit="1" customWidth="1"/>
    <col min="8" max="8" width="8.1796875" style="145" bestFit="1" customWidth="1"/>
    <col min="9" max="9" width="8.81640625" style="145" bestFit="1" customWidth="1"/>
    <col min="10" max="10" width="6.1796875" style="145" bestFit="1" customWidth="1"/>
    <col min="11" max="12" width="11.36328125" style="146"/>
    <col min="13" max="13" width="8.7265625" style="146" customWidth="1"/>
    <col min="14" max="16" width="11.36328125" style="146"/>
    <col min="17" max="17" width="9.7265625" style="146" customWidth="1"/>
    <col min="18" max="16384" width="11.36328125" style="146"/>
  </cols>
  <sheetData>
    <row r="1" spans="1:18" x14ac:dyDescent="0.3">
      <c r="A1" s="144" t="s">
        <v>108</v>
      </c>
    </row>
    <row r="2" spans="1:18" x14ac:dyDescent="0.3">
      <c r="A2" s="144" t="s">
        <v>109</v>
      </c>
      <c r="G2" s="147"/>
    </row>
    <row r="4" spans="1:18" x14ac:dyDescent="0.3">
      <c r="A4" s="144" t="s">
        <v>110</v>
      </c>
    </row>
    <row r="5" spans="1:18" x14ac:dyDescent="0.3">
      <c r="B5" s="148" t="s">
        <v>111</v>
      </c>
      <c r="C5" s="149"/>
      <c r="D5" s="149"/>
      <c r="E5" s="149"/>
      <c r="F5" s="149"/>
      <c r="G5" s="149"/>
      <c r="H5" s="149"/>
      <c r="I5" s="149"/>
      <c r="J5" s="149"/>
    </row>
    <row r="6" spans="1:18" x14ac:dyDescent="0.3">
      <c r="A6" s="144" t="s">
        <v>112</v>
      </c>
    </row>
    <row r="7" spans="1:18" x14ac:dyDescent="0.3">
      <c r="L7" s="150" t="s">
        <v>223</v>
      </c>
    </row>
    <row r="8" spans="1:18" ht="15" x14ac:dyDescent="0.4">
      <c r="A8" s="151"/>
      <c r="B8" s="152"/>
      <c r="C8" s="153"/>
      <c r="D8" s="154"/>
      <c r="E8" s="152"/>
      <c r="F8" s="153"/>
      <c r="G8" s="154"/>
      <c r="H8" s="152"/>
      <c r="I8" s="153"/>
      <c r="J8" s="154"/>
      <c r="M8" s="155" t="s">
        <v>333</v>
      </c>
      <c r="O8" s="155" t="s">
        <v>334</v>
      </c>
    </row>
    <row r="9" spans="1:18" x14ac:dyDescent="0.3">
      <c r="A9" s="156"/>
      <c r="B9" s="157" t="s">
        <v>113</v>
      </c>
      <c r="C9" s="158"/>
      <c r="D9" s="159"/>
      <c r="E9" s="157" t="s">
        <v>114</v>
      </c>
      <c r="F9" s="158"/>
      <c r="G9" s="159"/>
      <c r="H9" s="157" t="s">
        <v>115</v>
      </c>
      <c r="I9" s="158"/>
      <c r="J9" s="159"/>
      <c r="M9" s="160">
        <f>1-E65/E45</f>
        <v>1.8506758595663642E-2</v>
      </c>
      <c r="O9" s="161">
        <f>1000*M9</f>
        <v>18.506758595663641</v>
      </c>
    </row>
    <row r="10" spans="1:18" ht="15" x14ac:dyDescent="0.4">
      <c r="A10" s="162" t="s">
        <v>116</v>
      </c>
      <c r="B10" s="163"/>
      <c r="C10" s="164"/>
      <c r="D10" s="165"/>
      <c r="E10" s="163"/>
      <c r="F10" s="164"/>
      <c r="G10" s="165"/>
      <c r="H10" s="163"/>
      <c r="I10" s="164"/>
      <c r="J10" s="165"/>
      <c r="L10" s="150" t="s">
        <v>335</v>
      </c>
      <c r="M10" s="166">
        <f>LOG10(O9)</f>
        <v>1.2673303600122741</v>
      </c>
    </row>
    <row r="11" spans="1:18" x14ac:dyDescent="0.3">
      <c r="A11" s="162" t="s">
        <v>45</v>
      </c>
      <c r="B11" s="167"/>
      <c r="C11" s="168"/>
      <c r="D11" s="167"/>
      <c r="E11" s="169"/>
      <c r="F11" s="167"/>
      <c r="G11" s="170"/>
      <c r="H11" s="169"/>
      <c r="I11" s="167"/>
      <c r="J11" s="170"/>
    </row>
    <row r="12" spans="1:18" ht="15" x14ac:dyDescent="0.4">
      <c r="A12" s="156"/>
      <c r="B12" s="171" t="s">
        <v>117</v>
      </c>
      <c r="C12" s="172" t="s">
        <v>118</v>
      </c>
      <c r="D12" s="171" t="s">
        <v>119</v>
      </c>
      <c r="E12" s="173" t="s">
        <v>117</v>
      </c>
      <c r="F12" s="171" t="s">
        <v>118</v>
      </c>
      <c r="G12" s="174" t="s">
        <v>119</v>
      </c>
      <c r="H12" s="173" t="s">
        <v>117</v>
      </c>
      <c r="I12" s="171" t="s">
        <v>118</v>
      </c>
      <c r="J12" s="174" t="s">
        <v>119</v>
      </c>
      <c r="L12" s="175"/>
      <c r="M12" s="176" t="s">
        <v>224</v>
      </c>
      <c r="N12" s="177" t="s">
        <v>223</v>
      </c>
      <c r="O12" s="178"/>
      <c r="P12" s="178"/>
      <c r="Q12" s="179" t="s">
        <v>336</v>
      </c>
      <c r="R12" s="175"/>
    </row>
    <row r="13" spans="1:18" x14ac:dyDescent="0.3">
      <c r="A13" s="180"/>
      <c r="B13" s="181"/>
      <c r="C13" s="164"/>
      <c r="D13" s="181"/>
      <c r="E13" s="163"/>
      <c r="F13" s="181"/>
      <c r="G13" s="165"/>
      <c r="H13" s="163"/>
      <c r="I13" s="181"/>
      <c r="J13" s="165"/>
      <c r="L13" s="182" t="s">
        <v>292</v>
      </c>
      <c r="M13" s="183"/>
      <c r="N13" s="184" t="s">
        <v>226</v>
      </c>
      <c r="O13" s="184"/>
      <c r="P13" s="185"/>
      <c r="Q13" s="184" t="s">
        <v>227</v>
      </c>
      <c r="R13" s="184"/>
    </row>
    <row r="14" spans="1:18" ht="15" x14ac:dyDescent="0.4">
      <c r="B14" s="186"/>
      <c r="C14" s="186"/>
      <c r="D14" s="187"/>
      <c r="E14" s="186"/>
      <c r="F14" s="186"/>
      <c r="G14" s="187"/>
      <c r="H14" s="186"/>
      <c r="I14" s="186"/>
      <c r="J14" s="187"/>
      <c r="L14" s="210" t="s">
        <v>45</v>
      </c>
      <c r="M14" s="210" t="s">
        <v>337</v>
      </c>
      <c r="N14" s="210" t="s">
        <v>338</v>
      </c>
      <c r="O14" s="210" t="s">
        <v>228</v>
      </c>
      <c r="P14" s="210" t="s">
        <v>337</v>
      </c>
      <c r="Q14" s="210" t="s">
        <v>338</v>
      </c>
      <c r="R14" s="210" t="s">
        <v>228</v>
      </c>
    </row>
    <row r="15" spans="1:18" x14ac:dyDescent="0.3">
      <c r="A15" s="188" t="s">
        <v>120</v>
      </c>
      <c r="B15" s="186">
        <v>100000</v>
      </c>
      <c r="C15" s="186">
        <v>372</v>
      </c>
      <c r="D15" s="187">
        <v>78.331299999999999</v>
      </c>
      <c r="E15" s="186">
        <v>100000</v>
      </c>
      <c r="F15" s="186">
        <v>311</v>
      </c>
      <c r="G15" s="187">
        <v>84.846800000000002</v>
      </c>
      <c r="H15" s="186">
        <v>100000</v>
      </c>
      <c r="I15" s="186">
        <v>342</v>
      </c>
      <c r="J15" s="187">
        <v>81.510800000000003</v>
      </c>
      <c r="L15" s="144">
        <v>0</v>
      </c>
      <c r="M15" s="194">
        <v>-0.22091</v>
      </c>
      <c r="N15" s="194">
        <v>1.06009</v>
      </c>
      <c r="O15" s="194">
        <v>0.12323000000000001</v>
      </c>
      <c r="P15" s="194">
        <v>-0.47772999999999999</v>
      </c>
      <c r="Q15" s="194">
        <v>1.14473</v>
      </c>
      <c r="R15" s="194">
        <v>0.13166</v>
      </c>
    </row>
    <row r="16" spans="1:18" x14ac:dyDescent="0.3">
      <c r="A16" s="188" t="s">
        <v>121</v>
      </c>
      <c r="B16" s="186">
        <v>99628</v>
      </c>
      <c r="C16" s="186">
        <v>30</v>
      </c>
      <c r="D16" s="187">
        <v>77.621700000000004</v>
      </c>
      <c r="E16" s="186">
        <v>99689</v>
      </c>
      <c r="F16" s="186">
        <v>26</v>
      </c>
      <c r="G16" s="187">
        <v>84.110200000000006</v>
      </c>
      <c r="H16" s="186">
        <v>99658</v>
      </c>
      <c r="I16" s="186">
        <v>28</v>
      </c>
      <c r="J16" s="187">
        <v>80.789000000000001</v>
      </c>
      <c r="L16" s="144">
        <v>1</v>
      </c>
      <c r="M16" s="194">
        <v>-2.3652099999999998</v>
      </c>
      <c r="N16" s="194">
        <v>1.90995</v>
      </c>
      <c r="O16" s="194">
        <v>0.17433999999999999</v>
      </c>
      <c r="P16" s="194">
        <v>-2.6374499999999999</v>
      </c>
      <c r="Q16" s="194">
        <v>2.02657</v>
      </c>
      <c r="R16" s="194">
        <v>0.18514</v>
      </c>
    </row>
    <row r="17" spans="1:18" x14ac:dyDescent="0.3">
      <c r="A17" s="188" t="s">
        <v>122</v>
      </c>
      <c r="B17" s="186">
        <v>99599</v>
      </c>
      <c r="C17" s="186">
        <v>19</v>
      </c>
      <c r="D17" s="187">
        <v>76.644599999999997</v>
      </c>
      <c r="E17" s="186">
        <v>99663</v>
      </c>
      <c r="F17" s="186">
        <v>15</v>
      </c>
      <c r="G17" s="187">
        <v>83.132000000000005</v>
      </c>
      <c r="H17" s="186">
        <v>99630</v>
      </c>
      <c r="I17" s="186">
        <v>17</v>
      </c>
      <c r="J17" s="187">
        <v>79.811499999999995</v>
      </c>
      <c r="L17" s="144">
        <v>5</v>
      </c>
      <c r="M17" s="194">
        <v>-1.94537</v>
      </c>
      <c r="N17" s="194">
        <v>1.4932300000000001</v>
      </c>
      <c r="O17" s="194">
        <v>0.14532999999999999</v>
      </c>
      <c r="P17" s="194">
        <v>-2.5061</v>
      </c>
      <c r="Q17" s="194">
        <v>1.73814</v>
      </c>
      <c r="R17" s="194">
        <v>0.13045999999999999</v>
      </c>
    </row>
    <row r="18" spans="1:18" x14ac:dyDescent="0.3">
      <c r="A18" s="188" t="s">
        <v>123</v>
      </c>
      <c r="B18" s="186">
        <v>99580</v>
      </c>
      <c r="C18" s="186">
        <v>14</v>
      </c>
      <c r="D18" s="187">
        <v>75.658900000000003</v>
      </c>
      <c r="E18" s="186">
        <v>99648</v>
      </c>
      <c r="F18" s="186">
        <v>12</v>
      </c>
      <c r="G18" s="187">
        <v>82.144000000000005</v>
      </c>
      <c r="H18" s="186">
        <v>99613</v>
      </c>
      <c r="I18" s="186">
        <v>13</v>
      </c>
      <c r="J18" s="187">
        <v>78.824799999999996</v>
      </c>
      <c r="L18" s="144">
        <f t="shared" ref="L18:L32" si="0">L17+5</f>
        <v>10</v>
      </c>
      <c r="M18" s="194">
        <v>-1.57599</v>
      </c>
      <c r="N18" s="194">
        <v>1.23648</v>
      </c>
      <c r="O18" s="194">
        <v>9.7290000000000001E-2</v>
      </c>
      <c r="P18" s="194">
        <v>-2.2855099999999999</v>
      </c>
      <c r="Q18" s="194">
        <v>1.5712999999999999</v>
      </c>
      <c r="R18" s="194">
        <v>0.10861999999999999</v>
      </c>
    </row>
    <row r="19" spans="1:18" x14ac:dyDescent="0.3">
      <c r="A19" s="188" t="s">
        <v>124</v>
      </c>
      <c r="B19" s="186">
        <v>99566</v>
      </c>
      <c r="C19" s="186">
        <v>11</v>
      </c>
      <c r="D19" s="187">
        <v>74.6691</v>
      </c>
      <c r="E19" s="186">
        <v>99637</v>
      </c>
      <c r="F19" s="186">
        <v>8</v>
      </c>
      <c r="G19" s="187">
        <v>81.153499999999994</v>
      </c>
      <c r="H19" s="186">
        <v>99601</v>
      </c>
      <c r="I19" s="186">
        <v>9</v>
      </c>
      <c r="J19" s="187">
        <v>77.834599999999995</v>
      </c>
      <c r="L19" s="144">
        <f t="shared" si="0"/>
        <v>15</v>
      </c>
      <c r="M19" s="194">
        <v>-1.06772</v>
      </c>
      <c r="N19" s="194">
        <v>1.0991500000000001</v>
      </c>
      <c r="O19" s="194">
        <v>9.4990000000000005E-2</v>
      </c>
      <c r="P19" s="194">
        <v>-1.8474600000000001</v>
      </c>
      <c r="Q19" s="194">
        <v>1.4559500000000001</v>
      </c>
      <c r="R19" s="194">
        <v>9.6310000000000007E-2</v>
      </c>
    </row>
    <row r="20" spans="1:18" x14ac:dyDescent="0.3">
      <c r="A20" s="188" t="s">
        <v>125</v>
      </c>
      <c r="B20" s="186">
        <v>99556</v>
      </c>
      <c r="C20" s="186">
        <v>11</v>
      </c>
      <c r="D20" s="187">
        <v>73.677000000000007</v>
      </c>
      <c r="E20" s="186">
        <v>99629</v>
      </c>
      <c r="F20" s="186">
        <v>7</v>
      </c>
      <c r="G20" s="187">
        <v>80.16</v>
      </c>
      <c r="H20" s="186">
        <v>99591</v>
      </c>
      <c r="I20" s="186">
        <v>9</v>
      </c>
      <c r="J20" s="187">
        <v>76.841899999999995</v>
      </c>
      <c r="L20" s="144">
        <f t="shared" si="0"/>
        <v>20</v>
      </c>
      <c r="M20" s="194">
        <v>-0.97845000000000004</v>
      </c>
      <c r="N20" s="194">
        <v>1.1304799999999999</v>
      </c>
      <c r="O20" s="194">
        <v>0.10637000000000001</v>
      </c>
      <c r="P20" s="194">
        <v>-1.6327</v>
      </c>
      <c r="Q20" s="194">
        <v>1.4137</v>
      </c>
      <c r="R20" s="194">
        <v>8.6790000000000006E-2</v>
      </c>
    </row>
    <row r="21" spans="1:18" x14ac:dyDescent="0.3">
      <c r="A21" s="188" t="s">
        <v>126</v>
      </c>
      <c r="B21" s="186">
        <v>99545</v>
      </c>
      <c r="C21" s="186">
        <v>10</v>
      </c>
      <c r="D21" s="187">
        <v>72.685100000000006</v>
      </c>
      <c r="E21" s="186">
        <v>99621</v>
      </c>
      <c r="F21" s="186">
        <v>8</v>
      </c>
      <c r="G21" s="187">
        <v>79.165800000000004</v>
      </c>
      <c r="H21" s="186">
        <v>99582</v>
      </c>
      <c r="I21" s="186">
        <v>9</v>
      </c>
      <c r="J21" s="187">
        <v>75.8489</v>
      </c>
      <c r="L21" s="144">
        <f t="shared" si="0"/>
        <v>25</v>
      </c>
      <c r="M21" s="194">
        <v>-1.0033399999999999</v>
      </c>
      <c r="N21" s="194">
        <v>1.1498999999999999</v>
      </c>
      <c r="O21" s="194">
        <v>8.8880000000000001E-2</v>
      </c>
      <c r="P21" s="194">
        <v>-1.47801</v>
      </c>
      <c r="Q21" s="194">
        <v>1.3620399999999999</v>
      </c>
      <c r="R21" s="194">
        <v>6.1629999999999997E-2</v>
      </c>
    </row>
    <row r="22" spans="1:18" x14ac:dyDescent="0.3">
      <c r="A22" s="188" t="s">
        <v>127</v>
      </c>
      <c r="B22" s="186">
        <v>99535</v>
      </c>
      <c r="C22" s="186">
        <v>8</v>
      </c>
      <c r="D22" s="187">
        <v>71.692499999999995</v>
      </c>
      <c r="E22" s="186">
        <v>99613</v>
      </c>
      <c r="F22" s="186">
        <v>7</v>
      </c>
      <c r="G22" s="187">
        <v>78.172399999999996</v>
      </c>
      <c r="H22" s="186">
        <v>99573</v>
      </c>
      <c r="I22" s="186">
        <v>8</v>
      </c>
      <c r="J22" s="187">
        <v>74.855900000000005</v>
      </c>
      <c r="L22" s="144">
        <f t="shared" si="0"/>
        <v>30</v>
      </c>
      <c r="M22" s="194">
        <v>-0.90986999999999996</v>
      </c>
      <c r="N22" s="194">
        <v>1.1223099999999999</v>
      </c>
      <c r="O22" s="194">
        <v>7.6380000000000003E-2</v>
      </c>
      <c r="P22" s="194">
        <v>-1.3268200000000001</v>
      </c>
      <c r="Q22" s="194">
        <v>1.3080799999999999</v>
      </c>
      <c r="R22" s="194">
        <v>3.721E-2</v>
      </c>
    </row>
    <row r="23" spans="1:18" x14ac:dyDescent="0.3">
      <c r="A23" s="188" t="s">
        <v>128</v>
      </c>
      <c r="B23" s="186">
        <v>99526</v>
      </c>
      <c r="C23" s="186">
        <v>8</v>
      </c>
      <c r="D23" s="187">
        <v>70.698400000000007</v>
      </c>
      <c r="E23" s="186">
        <v>99606</v>
      </c>
      <c r="F23" s="186">
        <v>7</v>
      </c>
      <c r="G23" s="187">
        <v>77.177800000000005</v>
      </c>
      <c r="H23" s="186">
        <v>99565</v>
      </c>
      <c r="I23" s="186">
        <v>8</v>
      </c>
      <c r="J23" s="187">
        <v>73.861699999999999</v>
      </c>
      <c r="L23" s="144">
        <f t="shared" si="0"/>
        <v>35</v>
      </c>
      <c r="M23" s="194">
        <v>-0.72924</v>
      </c>
      <c r="N23" s="194">
        <v>1.06959</v>
      </c>
      <c r="O23" s="194">
        <v>6.4049999999999996E-2</v>
      </c>
      <c r="P23" s="194">
        <v>-1.0156000000000001</v>
      </c>
      <c r="Q23" s="194">
        <v>1.1851700000000001</v>
      </c>
      <c r="R23" s="194">
        <v>2.1100000000000001E-2</v>
      </c>
    </row>
    <row r="24" spans="1:18" x14ac:dyDescent="0.3">
      <c r="A24" s="188" t="s">
        <v>129</v>
      </c>
      <c r="B24" s="186">
        <v>99518</v>
      </c>
      <c r="C24" s="186">
        <v>8</v>
      </c>
      <c r="D24" s="187">
        <v>69.704300000000003</v>
      </c>
      <c r="E24" s="186">
        <v>99599</v>
      </c>
      <c r="F24" s="186">
        <v>7</v>
      </c>
      <c r="G24" s="187">
        <v>76.183300000000003</v>
      </c>
      <c r="H24" s="186">
        <v>99557</v>
      </c>
      <c r="I24" s="186">
        <v>7</v>
      </c>
      <c r="J24" s="187">
        <v>72.867400000000004</v>
      </c>
      <c r="L24" s="144">
        <f t="shared" si="0"/>
        <v>40</v>
      </c>
      <c r="M24" s="194">
        <v>-0.34394999999999998</v>
      </c>
      <c r="N24" s="194">
        <v>0.93501000000000001</v>
      </c>
      <c r="O24" s="194">
        <v>6.9120000000000001E-2</v>
      </c>
      <c r="P24" s="194">
        <v>-0.65</v>
      </c>
      <c r="Q24" s="194">
        <v>1.04094</v>
      </c>
      <c r="R24" s="194">
        <v>1.1860000000000001E-2</v>
      </c>
    </row>
    <row r="25" spans="1:18" x14ac:dyDescent="0.3">
      <c r="A25" s="188" t="s">
        <v>130</v>
      </c>
      <c r="B25" s="186">
        <v>99510</v>
      </c>
      <c r="C25" s="186">
        <v>8</v>
      </c>
      <c r="D25" s="187">
        <v>68.709800000000001</v>
      </c>
      <c r="E25" s="186">
        <v>99592</v>
      </c>
      <c r="F25" s="186">
        <v>6</v>
      </c>
      <c r="G25" s="187">
        <v>75.188299999999998</v>
      </c>
      <c r="H25" s="186">
        <v>99550</v>
      </c>
      <c r="I25" s="186">
        <v>7</v>
      </c>
      <c r="J25" s="187">
        <v>71.872600000000006</v>
      </c>
      <c r="L25" s="144">
        <f t="shared" si="0"/>
        <v>45</v>
      </c>
      <c r="M25" s="194">
        <v>0.14074999999999999</v>
      </c>
      <c r="N25" s="194">
        <v>0.76160000000000005</v>
      </c>
      <c r="O25" s="194">
        <v>6.9930000000000006E-2</v>
      </c>
      <c r="P25" s="194">
        <v>-0.13285</v>
      </c>
      <c r="Q25" s="194">
        <v>0.83606999999999998</v>
      </c>
      <c r="R25" s="194">
        <v>3.159E-2</v>
      </c>
    </row>
    <row r="26" spans="1:18" x14ac:dyDescent="0.3">
      <c r="A26" s="188" t="s">
        <v>131</v>
      </c>
      <c r="B26" s="186">
        <v>99502</v>
      </c>
      <c r="C26" s="186">
        <v>8</v>
      </c>
      <c r="D26" s="187">
        <v>67.715400000000002</v>
      </c>
      <c r="E26" s="186">
        <v>99586</v>
      </c>
      <c r="F26" s="186">
        <v>7</v>
      </c>
      <c r="G26" s="187">
        <v>74.192999999999998</v>
      </c>
      <c r="H26" s="186">
        <v>99543</v>
      </c>
      <c r="I26" s="186">
        <v>8</v>
      </c>
      <c r="J26" s="187">
        <v>70.877799999999993</v>
      </c>
      <c r="L26" s="144">
        <f t="shared" si="0"/>
        <v>50</v>
      </c>
      <c r="M26" s="194">
        <v>0.56188000000000005</v>
      </c>
      <c r="N26" s="194">
        <v>0.62470999999999999</v>
      </c>
      <c r="O26" s="194">
        <v>7.0620000000000002E-2</v>
      </c>
      <c r="P26" s="194">
        <v>0.25086999999999998</v>
      </c>
      <c r="Q26" s="194">
        <v>0.71292999999999995</v>
      </c>
      <c r="R26" s="194">
        <v>4.1410000000000002E-2</v>
      </c>
    </row>
    <row r="27" spans="1:18" x14ac:dyDescent="0.3">
      <c r="A27" s="188" t="s">
        <v>132</v>
      </c>
      <c r="B27" s="186">
        <v>99493</v>
      </c>
      <c r="C27" s="186">
        <v>11</v>
      </c>
      <c r="D27" s="187">
        <v>66.721100000000007</v>
      </c>
      <c r="E27" s="186">
        <v>99579</v>
      </c>
      <c r="F27" s="186">
        <v>8</v>
      </c>
      <c r="G27" s="187">
        <v>73.1982</v>
      </c>
      <c r="H27" s="186">
        <v>99535</v>
      </c>
      <c r="I27" s="186">
        <v>9</v>
      </c>
      <c r="J27" s="187">
        <v>69.883300000000006</v>
      </c>
      <c r="L27" s="144">
        <f t="shared" si="0"/>
        <v>55</v>
      </c>
      <c r="M27" s="194">
        <v>0.92476000000000003</v>
      </c>
      <c r="N27" s="194">
        <v>0.51881999999999995</v>
      </c>
      <c r="O27" s="194">
        <v>7.3440000000000005E-2</v>
      </c>
      <c r="P27" s="194">
        <v>0.56040999999999996</v>
      </c>
      <c r="Q27" s="194">
        <v>0.63438000000000005</v>
      </c>
      <c r="R27" s="194">
        <v>5.1619999999999999E-2</v>
      </c>
    </row>
    <row r="28" spans="1:18" x14ac:dyDescent="0.3">
      <c r="A28" s="188" t="s">
        <v>133</v>
      </c>
      <c r="B28" s="186">
        <v>99483</v>
      </c>
      <c r="C28" s="186">
        <v>9</v>
      </c>
      <c r="D28" s="187">
        <v>65.728099999999998</v>
      </c>
      <c r="E28" s="186">
        <v>99571</v>
      </c>
      <c r="F28" s="186">
        <v>9</v>
      </c>
      <c r="G28" s="187">
        <v>72.203900000000004</v>
      </c>
      <c r="H28" s="186">
        <v>99526</v>
      </c>
      <c r="I28" s="186">
        <v>9</v>
      </c>
      <c r="J28" s="187">
        <v>68.889700000000005</v>
      </c>
      <c r="L28" s="144">
        <f t="shared" si="0"/>
        <v>60</v>
      </c>
      <c r="M28" s="194">
        <v>1.2845899999999999</v>
      </c>
      <c r="N28" s="194">
        <v>0.42093000000000003</v>
      </c>
      <c r="O28" s="194">
        <v>6.6989999999999994E-2</v>
      </c>
      <c r="P28" s="194">
        <v>0.92137000000000002</v>
      </c>
      <c r="Q28" s="194">
        <v>0.54405999999999999</v>
      </c>
      <c r="R28" s="194">
        <v>5.2260000000000001E-2</v>
      </c>
    </row>
    <row r="29" spans="1:18" x14ac:dyDescent="0.3">
      <c r="A29" s="188" t="s">
        <v>134</v>
      </c>
      <c r="B29" s="186">
        <v>99474</v>
      </c>
      <c r="C29" s="186">
        <v>17</v>
      </c>
      <c r="D29" s="187">
        <v>64.734099999999998</v>
      </c>
      <c r="E29" s="186">
        <v>99562</v>
      </c>
      <c r="F29" s="186">
        <v>11</v>
      </c>
      <c r="G29" s="187">
        <v>71.210499999999996</v>
      </c>
      <c r="H29" s="186">
        <v>99517</v>
      </c>
      <c r="I29" s="186">
        <v>14</v>
      </c>
      <c r="J29" s="187">
        <v>67.896000000000001</v>
      </c>
      <c r="L29" s="144">
        <f t="shared" si="0"/>
        <v>65</v>
      </c>
      <c r="M29" s="194">
        <v>1.64323</v>
      </c>
      <c r="N29" s="194">
        <v>0.32596000000000003</v>
      </c>
      <c r="O29" s="194">
        <v>6.1769999999999999E-2</v>
      </c>
      <c r="P29" s="194">
        <v>1.28508</v>
      </c>
      <c r="Q29" s="194">
        <v>0.45517999999999997</v>
      </c>
      <c r="R29" s="194">
        <v>5.6120000000000003E-2</v>
      </c>
    </row>
    <row r="30" spans="1:18" x14ac:dyDescent="0.3">
      <c r="A30" s="188" t="s">
        <v>135</v>
      </c>
      <c r="B30" s="186">
        <v>99457</v>
      </c>
      <c r="C30" s="186">
        <v>22</v>
      </c>
      <c r="D30" s="187">
        <v>63.744900000000001</v>
      </c>
      <c r="E30" s="186">
        <v>99551</v>
      </c>
      <c r="F30" s="186">
        <v>13</v>
      </c>
      <c r="G30" s="187">
        <v>70.218100000000007</v>
      </c>
      <c r="H30" s="186">
        <v>99503</v>
      </c>
      <c r="I30" s="186">
        <v>18</v>
      </c>
      <c r="J30" s="187">
        <v>66.9054</v>
      </c>
      <c r="L30" s="144">
        <f t="shared" si="0"/>
        <v>70</v>
      </c>
      <c r="M30" s="194">
        <v>1.9053599999999999</v>
      </c>
      <c r="N30" s="194">
        <v>0.27648</v>
      </c>
      <c r="O30" s="194">
        <v>5.3240000000000003E-2</v>
      </c>
      <c r="P30" s="194">
        <v>1.7036800000000001</v>
      </c>
      <c r="Q30" s="194">
        <v>0.34393000000000001</v>
      </c>
      <c r="R30" s="194">
        <v>5.2780000000000001E-2</v>
      </c>
    </row>
    <row r="31" spans="1:18" x14ac:dyDescent="0.3">
      <c r="A31" s="188" t="s">
        <v>136</v>
      </c>
      <c r="B31" s="186">
        <v>99435</v>
      </c>
      <c r="C31" s="186">
        <v>30</v>
      </c>
      <c r="D31" s="187">
        <v>62.759</v>
      </c>
      <c r="E31" s="186">
        <v>99539</v>
      </c>
      <c r="F31" s="186">
        <v>14</v>
      </c>
      <c r="G31" s="187">
        <v>69.226900000000001</v>
      </c>
      <c r="H31" s="186">
        <v>99486</v>
      </c>
      <c r="I31" s="186">
        <v>22</v>
      </c>
      <c r="J31" s="187">
        <v>65.917000000000002</v>
      </c>
      <c r="L31" s="144">
        <f t="shared" si="0"/>
        <v>75</v>
      </c>
      <c r="M31" s="194">
        <v>2.2337400000000001</v>
      </c>
      <c r="N31" s="194">
        <v>0.19048000000000001</v>
      </c>
      <c r="O31" s="194">
        <v>5.1299999999999998E-2</v>
      </c>
      <c r="P31" s="194">
        <v>2.1052499999999998</v>
      </c>
      <c r="Q31" s="194">
        <v>0.22992000000000001</v>
      </c>
      <c r="R31" s="194">
        <v>5.1790000000000003E-2</v>
      </c>
    </row>
    <row r="32" spans="1:18" x14ac:dyDescent="0.3">
      <c r="A32" s="188" t="s">
        <v>137</v>
      </c>
      <c r="B32" s="186">
        <v>99405</v>
      </c>
      <c r="C32" s="186">
        <v>37</v>
      </c>
      <c r="D32" s="187">
        <v>61.777700000000003</v>
      </c>
      <c r="E32" s="186">
        <v>99525</v>
      </c>
      <c r="F32" s="186">
        <v>15</v>
      </c>
      <c r="G32" s="187">
        <v>68.236400000000003</v>
      </c>
      <c r="H32" s="186">
        <v>99464</v>
      </c>
      <c r="I32" s="186">
        <v>26</v>
      </c>
      <c r="J32" s="187">
        <v>64.9315</v>
      </c>
      <c r="L32" s="144">
        <f t="shared" si="0"/>
        <v>80</v>
      </c>
      <c r="M32" s="194">
        <v>2.5607099999999998</v>
      </c>
      <c r="N32" s="194">
        <v>9.5949999999999994E-2</v>
      </c>
      <c r="O32" s="194">
        <v>4.8239999999999998E-2</v>
      </c>
      <c r="P32" s="194">
        <v>2.4597600000000002</v>
      </c>
      <c r="Q32" s="194">
        <v>0.12845999999999999</v>
      </c>
      <c r="R32" s="194">
        <v>5.0450000000000002E-2</v>
      </c>
    </row>
    <row r="33" spans="1:19" x14ac:dyDescent="0.3">
      <c r="A33" s="188" t="s">
        <v>138</v>
      </c>
      <c r="B33" s="186">
        <v>99368</v>
      </c>
      <c r="C33" s="186">
        <v>52</v>
      </c>
      <c r="D33" s="187">
        <v>60.800400000000003</v>
      </c>
      <c r="E33" s="186">
        <v>99510</v>
      </c>
      <c r="F33" s="186">
        <v>21</v>
      </c>
      <c r="G33" s="187">
        <v>67.246700000000004</v>
      </c>
      <c r="H33" s="186">
        <v>99437</v>
      </c>
      <c r="I33" s="186">
        <v>36</v>
      </c>
      <c r="J33" s="187">
        <v>63.948500000000003</v>
      </c>
    </row>
    <row r="34" spans="1:19" x14ac:dyDescent="0.3">
      <c r="A34" s="188" t="s">
        <v>139</v>
      </c>
      <c r="B34" s="186">
        <v>99317</v>
      </c>
      <c r="C34" s="186">
        <v>62</v>
      </c>
      <c r="D34" s="187">
        <v>59.831499999999998</v>
      </c>
      <c r="E34" s="186">
        <v>99489</v>
      </c>
      <c r="F34" s="186">
        <v>23</v>
      </c>
      <c r="G34" s="187">
        <v>66.260400000000004</v>
      </c>
      <c r="H34" s="186">
        <v>99401</v>
      </c>
      <c r="I34" s="186">
        <v>43</v>
      </c>
      <c r="J34" s="187">
        <v>62.971600000000002</v>
      </c>
    </row>
    <row r="35" spans="1:19" x14ac:dyDescent="0.3">
      <c r="A35" s="188" t="s">
        <v>140</v>
      </c>
      <c r="B35" s="186">
        <v>99256</v>
      </c>
      <c r="C35" s="186">
        <v>65</v>
      </c>
      <c r="D35" s="187">
        <v>58.868000000000002</v>
      </c>
      <c r="E35" s="186">
        <v>99467</v>
      </c>
      <c r="F35" s="186">
        <v>24</v>
      </c>
      <c r="G35" s="187">
        <v>65.275400000000005</v>
      </c>
      <c r="H35" s="186">
        <v>99359</v>
      </c>
      <c r="I35" s="186">
        <v>45</v>
      </c>
      <c r="J35" s="187">
        <v>61.998199999999997</v>
      </c>
      <c r="L35" s="189"/>
      <c r="N35" s="190" t="s">
        <v>231</v>
      </c>
      <c r="O35" s="191"/>
      <c r="P35" s="191"/>
      <c r="Q35" s="191"/>
      <c r="R35" s="191"/>
      <c r="S35" s="175"/>
    </row>
    <row r="36" spans="1:19" ht="15" x14ac:dyDescent="0.4">
      <c r="A36" s="188" t="s">
        <v>141</v>
      </c>
      <c r="B36" s="186">
        <v>99191</v>
      </c>
      <c r="C36" s="186">
        <v>69</v>
      </c>
      <c r="D36" s="187">
        <v>57.906100000000002</v>
      </c>
      <c r="E36" s="186">
        <v>99443</v>
      </c>
      <c r="F36" s="186">
        <v>24</v>
      </c>
      <c r="G36" s="187">
        <v>64.290700000000001</v>
      </c>
      <c r="H36" s="186">
        <v>99314</v>
      </c>
      <c r="I36" s="186">
        <v>47</v>
      </c>
      <c r="J36" s="187">
        <v>61.025799999999997</v>
      </c>
      <c r="L36" s="189"/>
      <c r="N36" s="192" t="s">
        <v>339</v>
      </c>
      <c r="R36" s="189"/>
      <c r="S36" s="189"/>
    </row>
    <row r="37" spans="1:19" x14ac:dyDescent="0.3">
      <c r="A37" s="188" t="s">
        <v>142</v>
      </c>
      <c r="B37" s="186">
        <v>99122</v>
      </c>
      <c r="C37" s="186">
        <v>70</v>
      </c>
      <c r="D37" s="187">
        <v>56.945900000000002</v>
      </c>
      <c r="E37" s="186">
        <v>99420</v>
      </c>
      <c r="F37" s="186">
        <v>25</v>
      </c>
      <c r="G37" s="187">
        <v>63.305900000000001</v>
      </c>
      <c r="H37" s="186">
        <v>99267</v>
      </c>
      <c r="I37" s="186">
        <v>48</v>
      </c>
      <c r="J37" s="187">
        <v>60.054400000000001</v>
      </c>
      <c r="L37" s="175"/>
      <c r="M37" s="193"/>
      <c r="N37" s="192">
        <v>1.2673303600122741</v>
      </c>
      <c r="O37" s="194"/>
      <c r="P37" s="194"/>
      <c r="Q37" s="193"/>
      <c r="R37" s="193"/>
      <c r="S37" s="144"/>
    </row>
    <row r="38" spans="1:19" x14ac:dyDescent="0.3">
      <c r="A38" s="188" t="s">
        <v>143</v>
      </c>
      <c r="B38" s="186">
        <v>99053</v>
      </c>
      <c r="C38" s="186">
        <v>74</v>
      </c>
      <c r="D38" s="187">
        <v>55.985399999999998</v>
      </c>
      <c r="E38" s="186">
        <v>99395</v>
      </c>
      <c r="F38" s="186">
        <v>23</v>
      </c>
      <c r="G38" s="187">
        <v>62.321599999999997</v>
      </c>
      <c r="H38" s="186">
        <v>99220</v>
      </c>
      <c r="I38" s="186">
        <v>49</v>
      </c>
      <c r="J38" s="187">
        <v>59.082900000000002</v>
      </c>
      <c r="L38" s="175"/>
      <c r="M38" s="144"/>
      <c r="O38" s="144"/>
      <c r="P38" s="144"/>
      <c r="Q38" s="144"/>
      <c r="R38" s="144"/>
      <c r="S38" s="144"/>
    </row>
    <row r="39" spans="1:19" x14ac:dyDescent="0.3">
      <c r="A39" s="188" t="s">
        <v>144</v>
      </c>
      <c r="B39" s="186">
        <v>98980</v>
      </c>
      <c r="C39" s="186">
        <v>76</v>
      </c>
      <c r="D39" s="187">
        <v>55.026299999999999</v>
      </c>
      <c r="E39" s="186">
        <v>99372</v>
      </c>
      <c r="F39" s="186">
        <v>24</v>
      </c>
      <c r="G39" s="187">
        <v>61.335900000000002</v>
      </c>
      <c r="H39" s="186">
        <v>99171</v>
      </c>
      <c r="I39" s="186">
        <v>51</v>
      </c>
      <c r="J39" s="187">
        <v>58.111600000000003</v>
      </c>
      <c r="L39" s="182" t="s">
        <v>292</v>
      </c>
      <c r="M39" s="195" t="s">
        <v>229</v>
      </c>
      <c r="N39" s="191"/>
      <c r="O39" s="191"/>
      <c r="P39" s="182" t="s">
        <v>292</v>
      </c>
      <c r="Q39" s="196" t="s">
        <v>230</v>
      </c>
      <c r="R39" s="175"/>
      <c r="S39" s="175"/>
    </row>
    <row r="40" spans="1:19" x14ac:dyDescent="0.3">
      <c r="A40" s="188" t="s">
        <v>145</v>
      </c>
      <c r="B40" s="186">
        <v>98905</v>
      </c>
      <c r="C40" s="186">
        <v>77</v>
      </c>
      <c r="D40" s="187">
        <v>54.067900000000002</v>
      </c>
      <c r="E40" s="186">
        <v>99348</v>
      </c>
      <c r="F40" s="186">
        <v>26</v>
      </c>
      <c r="G40" s="187">
        <v>60.350200000000001</v>
      </c>
      <c r="H40" s="186">
        <v>99121</v>
      </c>
      <c r="I40" s="186">
        <v>52</v>
      </c>
      <c r="J40" s="187">
        <v>57.140700000000002</v>
      </c>
      <c r="L40" s="197" t="s">
        <v>45</v>
      </c>
      <c r="M40" s="197" t="s">
        <v>332</v>
      </c>
      <c r="N40" s="197" t="str">
        <f>"+2s"</f>
        <v>+2s</v>
      </c>
      <c r="O40" s="197" t="str">
        <f>"-2s"</f>
        <v>-2s</v>
      </c>
      <c r="P40" s="198" t="s">
        <v>45</v>
      </c>
      <c r="Q40" s="197" t="s">
        <v>332</v>
      </c>
      <c r="R40" s="197" t="str">
        <f>"+2s"</f>
        <v>+2s</v>
      </c>
      <c r="S40" s="197" t="str">
        <f>"-2s"</f>
        <v>-2s</v>
      </c>
    </row>
    <row r="41" spans="1:19" x14ac:dyDescent="0.3">
      <c r="A41" s="188" t="s">
        <v>146</v>
      </c>
      <c r="B41" s="186">
        <v>98828</v>
      </c>
      <c r="C41" s="186">
        <v>81</v>
      </c>
      <c r="D41" s="187">
        <v>53.109299999999998</v>
      </c>
      <c r="E41" s="186">
        <v>99323</v>
      </c>
      <c r="F41" s="186">
        <v>26</v>
      </c>
      <c r="G41" s="187">
        <v>59.365699999999997</v>
      </c>
      <c r="H41" s="186">
        <v>99070</v>
      </c>
      <c r="I41" s="186">
        <v>54</v>
      </c>
      <c r="J41" s="187">
        <v>56.170200000000001</v>
      </c>
      <c r="L41" s="199">
        <v>0</v>
      </c>
      <c r="M41" s="200">
        <f>10^(M15+N15*$M$10)</f>
        <v>13.260937901608639</v>
      </c>
      <c r="N41" s="200">
        <f>10^(M15+N15*$M$10+2*O15)</f>
        <v>23.39021648303649</v>
      </c>
      <c r="O41" s="200">
        <f t="shared" ref="O41:O58" si="1">10^(M15+N15*$M$10-2*O15)</f>
        <v>7.5182063474211809</v>
      </c>
      <c r="P41" s="199">
        <v>0</v>
      </c>
      <c r="Q41" s="200">
        <f>10^(P15+Q15*$M$10)</f>
        <v>9.397689309538455</v>
      </c>
      <c r="R41" s="200">
        <f>10^(P15+Q15*$M$10+2*R15)</f>
        <v>17.232214146783829</v>
      </c>
      <c r="S41" s="200">
        <f>10^(P15+Q15*$M$10-2*R15)</f>
        <v>5.1250851229176817</v>
      </c>
    </row>
    <row r="42" spans="1:19" x14ac:dyDescent="0.3">
      <c r="A42" s="188" t="s">
        <v>147</v>
      </c>
      <c r="B42" s="186">
        <v>98749</v>
      </c>
      <c r="C42" s="186">
        <v>81</v>
      </c>
      <c r="D42" s="187">
        <v>52.151699999999998</v>
      </c>
      <c r="E42" s="186">
        <v>99296</v>
      </c>
      <c r="F42" s="186">
        <v>29</v>
      </c>
      <c r="G42" s="187">
        <v>58.381300000000003</v>
      </c>
      <c r="H42" s="186">
        <v>99016</v>
      </c>
      <c r="I42" s="186">
        <v>56</v>
      </c>
      <c r="J42" s="187">
        <v>55.200400000000002</v>
      </c>
      <c r="L42" s="199">
        <v>1</v>
      </c>
      <c r="M42" s="200">
        <f t="shared" ref="M42:M58" si="2">10^(M16+N16*$M$10)</f>
        <v>1.1358673630324048</v>
      </c>
      <c r="N42" s="200">
        <f t="shared" ref="N42:N58" si="3">10^(M16+N16*$M$10+2*O16)</f>
        <v>2.5351731179434811</v>
      </c>
      <c r="O42" s="200">
        <f t="shared" si="1"/>
        <v>0.50891777656935244</v>
      </c>
      <c r="P42" s="199">
        <v>1</v>
      </c>
      <c r="Q42" s="200">
        <f t="shared" ref="Q42:Q58" si="4">10^(P16+Q16*$M$10)</f>
        <v>0.85287166819828963</v>
      </c>
      <c r="R42" s="200">
        <f t="shared" ref="R42:R58" si="5">10^(P16+Q16*$M$10+2*R16)</f>
        <v>2.0006157693061759</v>
      </c>
      <c r="S42" s="200">
        <f t="shared" ref="S42:S58" si="6">10^(P16+Q16*$M$10-2*R16)</f>
        <v>0.36358309955119278</v>
      </c>
    </row>
    <row r="43" spans="1:19" x14ac:dyDescent="0.3">
      <c r="A43" s="188" t="s">
        <v>148</v>
      </c>
      <c r="B43" s="186">
        <v>98668</v>
      </c>
      <c r="C43" s="186">
        <v>89</v>
      </c>
      <c r="D43" s="187">
        <v>51.193800000000003</v>
      </c>
      <c r="E43" s="186">
        <v>99267</v>
      </c>
      <c r="F43" s="186">
        <v>31</v>
      </c>
      <c r="G43" s="187">
        <v>57.398200000000003</v>
      </c>
      <c r="H43" s="186">
        <v>98961</v>
      </c>
      <c r="I43" s="186">
        <v>60</v>
      </c>
      <c r="J43" s="187">
        <v>54.230899999999998</v>
      </c>
      <c r="L43" s="199">
        <v>5</v>
      </c>
      <c r="M43" s="200">
        <f t="shared" si="2"/>
        <v>0.88520878127779246</v>
      </c>
      <c r="N43" s="200">
        <f t="shared" si="3"/>
        <v>1.7286445985326893</v>
      </c>
      <c r="O43" s="200">
        <f t="shared" si="1"/>
        <v>0.45329999417835615</v>
      </c>
      <c r="P43" s="199">
        <v>5</v>
      </c>
      <c r="Q43" s="200">
        <f t="shared" si="4"/>
        <v>0.49739062119942573</v>
      </c>
      <c r="R43" s="200">
        <f t="shared" si="5"/>
        <v>0.90702152145144288</v>
      </c>
      <c r="S43" s="200">
        <f t="shared" si="6"/>
        <v>0.27275805943530179</v>
      </c>
    </row>
    <row r="44" spans="1:19" x14ac:dyDescent="0.3">
      <c r="A44" s="188" t="s">
        <v>149</v>
      </c>
      <c r="B44" s="186">
        <v>98581</v>
      </c>
      <c r="C44" s="186">
        <v>82</v>
      </c>
      <c r="D44" s="187">
        <v>50.238900000000001</v>
      </c>
      <c r="E44" s="186">
        <v>99237</v>
      </c>
      <c r="F44" s="186">
        <v>30</v>
      </c>
      <c r="G44" s="187">
        <v>56.415799999999997</v>
      </c>
      <c r="H44" s="186">
        <v>98901</v>
      </c>
      <c r="I44" s="186">
        <v>57</v>
      </c>
      <c r="J44" s="187">
        <v>53.263500000000001</v>
      </c>
      <c r="L44" s="199">
        <f t="shared" ref="L44:L58" si="7">L43+5</f>
        <v>10</v>
      </c>
      <c r="M44" s="200">
        <f t="shared" si="2"/>
        <v>0.97957714436157894</v>
      </c>
      <c r="N44" s="200">
        <f t="shared" si="3"/>
        <v>1.5332700183828047</v>
      </c>
      <c r="O44" s="200">
        <f t="shared" si="1"/>
        <v>0.62583326501595615</v>
      </c>
      <c r="P44" s="199">
        <f t="shared" ref="P44:P58" si="8">P43+5</f>
        <v>10</v>
      </c>
      <c r="Q44" s="200">
        <f t="shared" si="4"/>
        <v>0.50797950984875451</v>
      </c>
      <c r="R44" s="200">
        <f t="shared" si="5"/>
        <v>0.83769552356420629</v>
      </c>
      <c r="S44" s="200">
        <f t="shared" si="6"/>
        <v>0.30803934743290162</v>
      </c>
    </row>
    <row r="45" spans="1:19" x14ac:dyDescent="0.3">
      <c r="A45" s="188" t="s">
        <v>150</v>
      </c>
      <c r="B45" s="186">
        <v>98499</v>
      </c>
      <c r="C45" s="186">
        <v>87</v>
      </c>
      <c r="D45" s="187">
        <v>49.279899999999998</v>
      </c>
      <c r="E45" s="186">
        <v>99207</v>
      </c>
      <c r="F45" s="186">
        <v>33</v>
      </c>
      <c r="G45" s="187">
        <v>55.432400000000001</v>
      </c>
      <c r="H45" s="186">
        <v>98845</v>
      </c>
      <c r="I45" s="186">
        <v>61</v>
      </c>
      <c r="J45" s="187">
        <v>52.293300000000002</v>
      </c>
      <c r="L45" s="199">
        <f t="shared" si="7"/>
        <v>15</v>
      </c>
      <c r="M45" s="200">
        <f t="shared" si="2"/>
        <v>2.1147847267220143</v>
      </c>
      <c r="N45" s="200">
        <f t="shared" si="3"/>
        <v>3.2752628952659055</v>
      </c>
      <c r="O45" s="200">
        <f t="shared" si="1"/>
        <v>1.3654825836548963</v>
      </c>
      <c r="P45" s="199">
        <f t="shared" si="8"/>
        <v>15</v>
      </c>
      <c r="Q45" s="200">
        <f t="shared" si="4"/>
        <v>0.99474012764581188</v>
      </c>
      <c r="R45" s="200">
        <f t="shared" si="5"/>
        <v>1.5499926460415474</v>
      </c>
      <c r="S45" s="200">
        <f t="shared" si="6"/>
        <v>0.63839523631022599</v>
      </c>
    </row>
    <row r="46" spans="1:19" x14ac:dyDescent="0.3">
      <c r="A46" s="188" t="s">
        <v>151</v>
      </c>
      <c r="B46" s="186">
        <v>98414</v>
      </c>
      <c r="C46" s="186">
        <v>88</v>
      </c>
      <c r="D46" s="187">
        <v>48.322400000000002</v>
      </c>
      <c r="E46" s="186">
        <v>99175</v>
      </c>
      <c r="F46" s="186">
        <v>32</v>
      </c>
      <c r="G46" s="187">
        <v>54.450499999999998</v>
      </c>
      <c r="H46" s="186">
        <v>98785</v>
      </c>
      <c r="I46" s="186">
        <v>60</v>
      </c>
      <c r="J46" s="187">
        <v>51.3247</v>
      </c>
      <c r="L46" s="199">
        <f t="shared" si="7"/>
        <v>20</v>
      </c>
      <c r="M46" s="200">
        <f t="shared" si="2"/>
        <v>2.8460441007199107</v>
      </c>
      <c r="N46" s="200">
        <f t="shared" si="3"/>
        <v>4.6449562241028355</v>
      </c>
      <c r="O46" s="200">
        <f t="shared" si="1"/>
        <v>1.7438198838584538</v>
      </c>
      <c r="P46" s="199">
        <f t="shared" si="8"/>
        <v>20</v>
      </c>
      <c r="Q46" s="200">
        <f t="shared" si="4"/>
        <v>1.4418660959600234</v>
      </c>
      <c r="R46" s="200">
        <f t="shared" si="5"/>
        <v>2.1503290889373639</v>
      </c>
      <c r="S46" s="200">
        <f t="shared" si="6"/>
        <v>0.96681845089412599</v>
      </c>
    </row>
    <row r="47" spans="1:19" x14ac:dyDescent="0.3">
      <c r="A47" s="188" t="s">
        <v>152</v>
      </c>
      <c r="B47" s="186">
        <v>98327</v>
      </c>
      <c r="C47" s="186">
        <v>93</v>
      </c>
      <c r="D47" s="187">
        <v>47.364400000000003</v>
      </c>
      <c r="E47" s="186">
        <v>99143</v>
      </c>
      <c r="F47" s="186">
        <v>38</v>
      </c>
      <c r="G47" s="187">
        <v>53.467500000000001</v>
      </c>
      <c r="H47" s="186">
        <v>98726</v>
      </c>
      <c r="I47" s="186">
        <v>66</v>
      </c>
      <c r="J47" s="187">
        <v>50.3553</v>
      </c>
      <c r="L47" s="199">
        <f t="shared" si="7"/>
        <v>25</v>
      </c>
      <c r="M47" s="200">
        <f t="shared" si="2"/>
        <v>2.8442199672980908</v>
      </c>
      <c r="N47" s="200">
        <f t="shared" si="3"/>
        <v>4.2827545088411201</v>
      </c>
      <c r="O47" s="200">
        <f t="shared" si="1"/>
        <v>1.8888748364346792</v>
      </c>
      <c r="P47" s="199">
        <f t="shared" si="8"/>
        <v>25</v>
      </c>
      <c r="Q47" s="200">
        <f t="shared" si="4"/>
        <v>1.7706985985217667</v>
      </c>
      <c r="R47" s="200">
        <f t="shared" si="5"/>
        <v>2.351823055519576</v>
      </c>
      <c r="S47" s="200">
        <f t="shared" si="6"/>
        <v>1.3331672718525447</v>
      </c>
    </row>
    <row r="48" spans="1:19" x14ac:dyDescent="0.3">
      <c r="A48" s="188" t="s">
        <v>153</v>
      </c>
      <c r="B48" s="186">
        <v>98236</v>
      </c>
      <c r="C48" s="186">
        <v>98</v>
      </c>
      <c r="D48" s="187">
        <v>46.408099999999997</v>
      </c>
      <c r="E48" s="186">
        <v>99106</v>
      </c>
      <c r="F48" s="186">
        <v>40</v>
      </c>
      <c r="G48" s="187">
        <v>52.487400000000001</v>
      </c>
      <c r="H48" s="186">
        <v>98661</v>
      </c>
      <c r="I48" s="186">
        <v>69</v>
      </c>
      <c r="J48" s="187">
        <v>49.388199999999998</v>
      </c>
      <c r="L48" s="199">
        <f t="shared" si="7"/>
        <v>30</v>
      </c>
      <c r="M48" s="200">
        <f t="shared" si="2"/>
        <v>3.2543745603249166</v>
      </c>
      <c r="N48" s="200">
        <f t="shared" si="3"/>
        <v>4.6262333636638289</v>
      </c>
      <c r="O48" s="200">
        <f t="shared" si="1"/>
        <v>2.2893254503923899</v>
      </c>
      <c r="P48" s="199">
        <f t="shared" si="8"/>
        <v>30</v>
      </c>
      <c r="Q48" s="200">
        <f t="shared" si="4"/>
        <v>2.1426414259168745</v>
      </c>
      <c r="R48" s="200">
        <f t="shared" si="5"/>
        <v>2.5431354825816528</v>
      </c>
      <c r="S48" s="200">
        <f t="shared" si="6"/>
        <v>1.8052173435111896</v>
      </c>
    </row>
    <row r="49" spans="1:19" x14ac:dyDescent="0.3">
      <c r="A49" s="188" t="s">
        <v>154</v>
      </c>
      <c r="B49" s="186">
        <v>98140</v>
      </c>
      <c r="C49" s="186">
        <v>103</v>
      </c>
      <c r="D49" s="187">
        <v>45.4529</v>
      </c>
      <c r="E49" s="186">
        <v>99066</v>
      </c>
      <c r="F49" s="186">
        <v>44</v>
      </c>
      <c r="G49" s="187">
        <v>51.508299999999998</v>
      </c>
      <c r="H49" s="186">
        <v>98592</v>
      </c>
      <c r="I49" s="186">
        <v>74</v>
      </c>
      <c r="J49" s="187">
        <v>48.4221</v>
      </c>
      <c r="L49" s="199">
        <f t="shared" si="7"/>
        <v>35</v>
      </c>
      <c r="M49" s="200">
        <f t="shared" si="2"/>
        <v>4.2294498501373186</v>
      </c>
      <c r="N49" s="200">
        <f t="shared" si="3"/>
        <v>5.6804648884568518</v>
      </c>
      <c r="O49" s="200">
        <f t="shared" si="1"/>
        <v>3.1490813491650833</v>
      </c>
      <c r="P49" s="199">
        <f t="shared" si="8"/>
        <v>35</v>
      </c>
      <c r="Q49" s="200">
        <f t="shared" si="4"/>
        <v>3.0647984742901437</v>
      </c>
      <c r="R49" s="200">
        <f t="shared" si="5"/>
        <v>3.3775510569023774</v>
      </c>
      <c r="S49" s="200">
        <f t="shared" si="6"/>
        <v>2.7810059802991405</v>
      </c>
    </row>
    <row r="50" spans="1:19" x14ac:dyDescent="0.3">
      <c r="A50" s="188" t="s">
        <v>155</v>
      </c>
      <c r="B50" s="186">
        <v>98039</v>
      </c>
      <c r="C50" s="186">
        <v>107</v>
      </c>
      <c r="D50" s="187">
        <v>44.499200000000002</v>
      </c>
      <c r="E50" s="186">
        <v>99023</v>
      </c>
      <c r="F50" s="186">
        <v>49</v>
      </c>
      <c r="G50" s="187">
        <v>50.5306</v>
      </c>
      <c r="H50" s="186">
        <v>98519</v>
      </c>
      <c r="I50" s="186">
        <v>79</v>
      </c>
      <c r="J50" s="187">
        <v>47.457599999999999</v>
      </c>
      <c r="L50" s="199">
        <f t="shared" si="7"/>
        <v>40</v>
      </c>
      <c r="M50" s="200">
        <f t="shared" si="2"/>
        <v>6.9345224727214365</v>
      </c>
      <c r="N50" s="200">
        <f t="shared" si="3"/>
        <v>9.5335919563394427</v>
      </c>
      <c r="O50" s="200">
        <f t="shared" si="1"/>
        <v>5.0440172124948539</v>
      </c>
      <c r="P50" s="199">
        <f t="shared" si="8"/>
        <v>40</v>
      </c>
      <c r="Q50" s="200">
        <f t="shared" si="4"/>
        <v>4.6689031475384351</v>
      </c>
      <c r="R50" s="200">
        <f t="shared" si="5"/>
        <v>4.9309984379108895</v>
      </c>
      <c r="S50" s="200">
        <f t="shared" si="6"/>
        <v>4.4207388981306837</v>
      </c>
    </row>
    <row r="51" spans="1:19" x14ac:dyDescent="0.3">
      <c r="A51" s="188" t="s">
        <v>156</v>
      </c>
      <c r="B51" s="186">
        <v>97934</v>
      </c>
      <c r="C51" s="186">
        <v>120</v>
      </c>
      <c r="D51" s="187">
        <v>43.546500000000002</v>
      </c>
      <c r="E51" s="186">
        <v>98975</v>
      </c>
      <c r="F51" s="186">
        <v>52</v>
      </c>
      <c r="G51" s="187">
        <v>49.555</v>
      </c>
      <c r="H51" s="186">
        <v>98442</v>
      </c>
      <c r="I51" s="186">
        <v>86</v>
      </c>
      <c r="J51" s="187">
        <v>46.494500000000002</v>
      </c>
      <c r="L51" s="199">
        <f t="shared" si="7"/>
        <v>45</v>
      </c>
      <c r="M51" s="200">
        <f t="shared" si="2"/>
        <v>12.762883417241436</v>
      </c>
      <c r="N51" s="200">
        <f t="shared" si="3"/>
        <v>17.612005085276287</v>
      </c>
      <c r="O51" s="200">
        <f t="shared" si="1"/>
        <v>9.248872705486221</v>
      </c>
      <c r="P51" s="199">
        <f t="shared" si="8"/>
        <v>45</v>
      </c>
      <c r="Q51" s="200">
        <f t="shared" si="4"/>
        <v>8.4474745900813346</v>
      </c>
      <c r="R51" s="200">
        <f t="shared" si="5"/>
        <v>9.7702773912527849</v>
      </c>
      <c r="S51" s="200">
        <f t="shared" si="6"/>
        <v>7.3037667296895217</v>
      </c>
    </row>
    <row r="52" spans="1:19" x14ac:dyDescent="0.3">
      <c r="A52" s="188" t="s">
        <v>157</v>
      </c>
      <c r="B52" s="186">
        <v>97817</v>
      </c>
      <c r="C52" s="186">
        <v>132</v>
      </c>
      <c r="D52" s="187">
        <v>42.598100000000002</v>
      </c>
      <c r="E52" s="186">
        <v>98923</v>
      </c>
      <c r="F52" s="186">
        <v>62</v>
      </c>
      <c r="G52" s="187">
        <v>48.580500000000001</v>
      </c>
      <c r="H52" s="186">
        <v>98357</v>
      </c>
      <c r="I52" s="186">
        <v>97</v>
      </c>
      <c r="J52" s="187">
        <v>45.534300000000002</v>
      </c>
      <c r="L52" s="199">
        <f t="shared" si="7"/>
        <v>50</v>
      </c>
      <c r="M52" s="200">
        <f t="shared" si="2"/>
        <v>22.573242606899814</v>
      </c>
      <c r="N52" s="200">
        <f t="shared" si="3"/>
        <v>31.248843513726552</v>
      </c>
      <c r="O52" s="200">
        <f t="shared" si="1"/>
        <v>16.306244471611528</v>
      </c>
      <c r="P52" s="199">
        <f t="shared" si="8"/>
        <v>50</v>
      </c>
      <c r="Q52" s="200">
        <f t="shared" si="4"/>
        <v>14.268812580037451</v>
      </c>
      <c r="R52" s="200">
        <f t="shared" si="5"/>
        <v>17.266639970720938</v>
      </c>
      <c r="S52" s="200">
        <f t="shared" si="6"/>
        <v>11.791466827910826</v>
      </c>
    </row>
    <row r="53" spans="1:19" x14ac:dyDescent="0.3">
      <c r="A53" s="188" t="s">
        <v>158</v>
      </c>
      <c r="B53" s="186">
        <v>97688</v>
      </c>
      <c r="C53" s="186">
        <v>142</v>
      </c>
      <c r="D53" s="187">
        <v>41.653599999999997</v>
      </c>
      <c r="E53" s="186">
        <v>98862</v>
      </c>
      <c r="F53" s="186">
        <v>69</v>
      </c>
      <c r="G53" s="187">
        <v>47.610100000000003</v>
      </c>
      <c r="H53" s="186">
        <v>98261</v>
      </c>
      <c r="I53" s="186">
        <v>107</v>
      </c>
      <c r="J53" s="187">
        <v>44.578200000000002</v>
      </c>
      <c r="L53" s="199">
        <f t="shared" si="7"/>
        <v>55</v>
      </c>
      <c r="M53" s="200">
        <f t="shared" si="2"/>
        <v>38.218737562266696</v>
      </c>
      <c r="N53" s="200">
        <f t="shared" si="3"/>
        <v>53.598956838065625</v>
      </c>
      <c r="O53" s="200">
        <f t="shared" si="1"/>
        <v>27.251871809118043</v>
      </c>
      <c r="P53" s="199">
        <f t="shared" si="8"/>
        <v>55</v>
      </c>
      <c r="Q53" s="200">
        <f t="shared" si="4"/>
        <v>23.140835429718368</v>
      </c>
      <c r="R53" s="200">
        <f t="shared" si="5"/>
        <v>29.350738546647079</v>
      </c>
      <c r="S53" s="200">
        <f t="shared" si="6"/>
        <v>18.244796925100964</v>
      </c>
    </row>
    <row r="54" spans="1:19" x14ac:dyDescent="0.3">
      <c r="A54" s="188" t="s">
        <v>159</v>
      </c>
      <c r="B54" s="186">
        <v>97549</v>
      </c>
      <c r="C54" s="186">
        <v>159</v>
      </c>
      <c r="D54" s="187">
        <v>40.712299999999999</v>
      </c>
      <c r="E54" s="186">
        <v>98794</v>
      </c>
      <c r="F54" s="186">
        <v>74</v>
      </c>
      <c r="G54" s="187">
        <v>46.642899999999997</v>
      </c>
      <c r="H54" s="186">
        <v>98156</v>
      </c>
      <c r="I54" s="186">
        <v>117</v>
      </c>
      <c r="J54" s="187">
        <v>43.6252</v>
      </c>
      <c r="L54" s="199">
        <f t="shared" si="7"/>
        <v>60</v>
      </c>
      <c r="M54" s="200">
        <f t="shared" si="2"/>
        <v>65.772957191810065</v>
      </c>
      <c r="N54" s="200">
        <f t="shared" si="3"/>
        <v>89.54211915692494</v>
      </c>
      <c r="O54" s="200">
        <f t="shared" si="1"/>
        <v>48.313374068957472</v>
      </c>
      <c r="P54" s="199">
        <f t="shared" si="8"/>
        <v>60</v>
      </c>
      <c r="Q54" s="200">
        <f t="shared" si="4"/>
        <v>40.820070990752804</v>
      </c>
      <c r="R54" s="200">
        <f t="shared" si="5"/>
        <v>51.927062535956175</v>
      </c>
      <c r="S54" s="200">
        <f t="shared" si="6"/>
        <v>32.088820632522925</v>
      </c>
    </row>
    <row r="55" spans="1:19" x14ac:dyDescent="0.3">
      <c r="A55" s="188" t="s">
        <v>160</v>
      </c>
      <c r="B55" s="186">
        <v>97393</v>
      </c>
      <c r="C55" s="186">
        <v>167</v>
      </c>
      <c r="D55" s="187">
        <v>39.776499999999999</v>
      </c>
      <c r="E55" s="186">
        <v>98721</v>
      </c>
      <c r="F55" s="186">
        <v>81</v>
      </c>
      <c r="G55" s="187">
        <v>45.677</v>
      </c>
      <c r="H55" s="186">
        <v>98041</v>
      </c>
      <c r="I55" s="186">
        <v>124</v>
      </c>
      <c r="J55" s="187">
        <v>42.675899999999999</v>
      </c>
      <c r="L55" s="199">
        <f t="shared" si="7"/>
        <v>65</v>
      </c>
      <c r="M55" s="200">
        <f t="shared" si="2"/>
        <v>113.84894333304437</v>
      </c>
      <c r="N55" s="200">
        <f t="shared" si="3"/>
        <v>151.3104783175655</v>
      </c>
      <c r="O55" s="200">
        <f t="shared" si="1"/>
        <v>85.662156660739669</v>
      </c>
      <c r="P55" s="199">
        <f t="shared" si="8"/>
        <v>65</v>
      </c>
      <c r="Q55" s="200">
        <f t="shared" si="4"/>
        <v>72.768501760264712</v>
      </c>
      <c r="R55" s="200">
        <f t="shared" si="5"/>
        <v>94.228750713116739</v>
      </c>
      <c r="S55" s="200">
        <f t="shared" si="6"/>
        <v>56.195745017943331</v>
      </c>
    </row>
    <row r="56" spans="1:19" x14ac:dyDescent="0.3">
      <c r="A56" s="188" t="s">
        <v>161</v>
      </c>
      <c r="B56" s="186">
        <v>97231</v>
      </c>
      <c r="C56" s="186">
        <v>191</v>
      </c>
      <c r="D56" s="187">
        <v>38.841999999999999</v>
      </c>
      <c r="E56" s="186">
        <v>98641</v>
      </c>
      <c r="F56" s="186">
        <v>91</v>
      </c>
      <c r="G56" s="187">
        <v>44.7136</v>
      </c>
      <c r="H56" s="186">
        <v>97919</v>
      </c>
      <c r="I56" s="186">
        <v>142</v>
      </c>
      <c r="J56" s="187">
        <v>41.728499999999997</v>
      </c>
      <c r="L56" s="199">
        <f t="shared" si="7"/>
        <v>70</v>
      </c>
      <c r="M56" s="200">
        <f t="shared" si="2"/>
        <v>180.1986354357347</v>
      </c>
      <c r="N56" s="200">
        <f t="shared" si="3"/>
        <v>230.26689134820074</v>
      </c>
      <c r="O56" s="200">
        <f t="shared" si="1"/>
        <v>141.01700866668941</v>
      </c>
      <c r="P56" s="199">
        <f t="shared" si="8"/>
        <v>70</v>
      </c>
      <c r="Q56" s="200">
        <f t="shared" si="4"/>
        <v>137.89640073921726</v>
      </c>
      <c r="R56" s="200">
        <f t="shared" si="5"/>
        <v>175.83807908272013</v>
      </c>
      <c r="S56" s="200">
        <f t="shared" si="6"/>
        <v>108.14163482692112</v>
      </c>
    </row>
    <row r="57" spans="1:19" x14ac:dyDescent="0.3">
      <c r="A57" s="188" t="s">
        <v>162</v>
      </c>
      <c r="B57" s="186">
        <v>97045</v>
      </c>
      <c r="C57" s="186">
        <v>207</v>
      </c>
      <c r="D57" s="187">
        <v>37.915399999999998</v>
      </c>
      <c r="E57" s="186">
        <v>98551</v>
      </c>
      <c r="F57" s="186">
        <v>101</v>
      </c>
      <c r="G57" s="187">
        <v>43.753999999999998</v>
      </c>
      <c r="H57" s="186">
        <v>97780</v>
      </c>
      <c r="I57" s="186">
        <v>155</v>
      </c>
      <c r="J57" s="187">
        <v>40.787100000000002</v>
      </c>
      <c r="L57" s="199">
        <f t="shared" si="7"/>
        <v>75</v>
      </c>
      <c r="M57" s="200">
        <f t="shared" si="2"/>
        <v>298.63526220945806</v>
      </c>
      <c r="N57" s="200">
        <f t="shared" si="3"/>
        <v>378.21703611633762</v>
      </c>
      <c r="O57" s="200">
        <f t="shared" si="1"/>
        <v>235.79852655679849</v>
      </c>
      <c r="P57" s="199">
        <f t="shared" si="8"/>
        <v>75</v>
      </c>
      <c r="Q57" s="200">
        <f t="shared" si="4"/>
        <v>249.24967251629243</v>
      </c>
      <c r="R57" s="200">
        <f t="shared" si="5"/>
        <v>316.38406111977116</v>
      </c>
      <c r="S57" s="200">
        <f t="shared" si="6"/>
        <v>196.36071118627143</v>
      </c>
    </row>
    <row r="58" spans="1:19" x14ac:dyDescent="0.3">
      <c r="A58" s="188" t="s">
        <v>163</v>
      </c>
      <c r="B58" s="186">
        <v>96844</v>
      </c>
      <c r="C58" s="186">
        <v>221</v>
      </c>
      <c r="D58" s="187">
        <v>36.993000000000002</v>
      </c>
      <c r="E58" s="186">
        <v>98451</v>
      </c>
      <c r="F58" s="186">
        <v>113</v>
      </c>
      <c r="G58" s="187">
        <v>42.797899999999998</v>
      </c>
      <c r="H58" s="186">
        <v>97628</v>
      </c>
      <c r="I58" s="186">
        <v>168</v>
      </c>
      <c r="J58" s="187">
        <v>39.849699999999999</v>
      </c>
      <c r="L58" s="199">
        <f t="shared" si="7"/>
        <v>80</v>
      </c>
      <c r="M58" s="200">
        <f t="shared" si="2"/>
        <v>481.18308038510634</v>
      </c>
      <c r="N58" s="200">
        <f t="shared" si="3"/>
        <v>600.88359602651349</v>
      </c>
      <c r="O58" s="200">
        <f t="shared" si="1"/>
        <v>385.32780455315196</v>
      </c>
      <c r="P58" s="199">
        <f t="shared" si="8"/>
        <v>80</v>
      </c>
      <c r="Q58" s="200">
        <f t="shared" si="4"/>
        <v>419.33514051748978</v>
      </c>
      <c r="R58" s="200">
        <f t="shared" si="5"/>
        <v>529.00680418349907</v>
      </c>
      <c r="S58" s="200">
        <f t="shared" si="6"/>
        <v>332.40018593754758</v>
      </c>
    </row>
    <row r="59" spans="1:19" x14ac:dyDescent="0.3">
      <c r="A59" s="188" t="s">
        <v>164</v>
      </c>
      <c r="B59" s="186">
        <v>96630</v>
      </c>
      <c r="C59" s="186">
        <v>250</v>
      </c>
      <c r="D59" s="187">
        <v>36.073900000000002</v>
      </c>
      <c r="E59" s="186">
        <v>98340</v>
      </c>
      <c r="F59" s="186">
        <v>127</v>
      </c>
      <c r="G59" s="187">
        <v>41.845799999999997</v>
      </c>
      <c r="H59" s="186">
        <v>97464</v>
      </c>
      <c r="I59" s="186">
        <v>189</v>
      </c>
      <c r="J59" s="187">
        <v>38.915900000000001</v>
      </c>
      <c r="P59" s="201"/>
    </row>
    <row r="60" spans="1:19" x14ac:dyDescent="0.3">
      <c r="A60" s="188" t="s">
        <v>165</v>
      </c>
      <c r="B60" s="186">
        <v>96389</v>
      </c>
      <c r="C60" s="186">
        <v>266</v>
      </c>
      <c r="D60" s="187">
        <v>35.162999999999997</v>
      </c>
      <c r="E60" s="186">
        <v>98215</v>
      </c>
      <c r="F60" s="186">
        <v>140</v>
      </c>
      <c r="G60" s="187">
        <v>40.898400000000002</v>
      </c>
      <c r="H60" s="186">
        <v>97280</v>
      </c>
      <c r="I60" s="186">
        <v>204</v>
      </c>
      <c r="J60" s="187">
        <v>37.988700000000001</v>
      </c>
      <c r="P60" s="201"/>
    </row>
    <row r="61" spans="1:19" x14ac:dyDescent="0.3">
      <c r="A61" s="188" t="s">
        <v>166</v>
      </c>
      <c r="B61" s="186">
        <v>96132</v>
      </c>
      <c r="C61" s="186">
        <v>300</v>
      </c>
      <c r="D61" s="187">
        <v>34.255600000000001</v>
      </c>
      <c r="E61" s="186">
        <v>98077</v>
      </c>
      <c r="F61" s="186">
        <v>155</v>
      </c>
      <c r="G61" s="187">
        <v>39.954999999999998</v>
      </c>
      <c r="H61" s="186">
        <v>97081</v>
      </c>
      <c r="I61" s="186">
        <v>228</v>
      </c>
      <c r="J61" s="187">
        <v>37.065399999999997</v>
      </c>
    </row>
    <row r="62" spans="1:19" x14ac:dyDescent="0.3">
      <c r="A62" s="188" t="s">
        <v>167</v>
      </c>
      <c r="B62" s="186">
        <v>95844</v>
      </c>
      <c r="C62" s="186">
        <v>335</v>
      </c>
      <c r="D62" s="187">
        <v>33.357100000000003</v>
      </c>
      <c r="E62" s="186">
        <v>97925</v>
      </c>
      <c r="F62" s="186">
        <v>173</v>
      </c>
      <c r="G62" s="187">
        <v>39.016300000000001</v>
      </c>
      <c r="H62" s="186">
        <v>96859</v>
      </c>
      <c r="I62" s="186">
        <v>255</v>
      </c>
      <c r="J62" s="187">
        <v>36.1492</v>
      </c>
    </row>
    <row r="63" spans="1:19" x14ac:dyDescent="0.3">
      <c r="A63" s="188" t="s">
        <v>168</v>
      </c>
      <c r="B63" s="186">
        <v>95523</v>
      </c>
      <c r="C63" s="186">
        <v>367</v>
      </c>
      <c r="D63" s="187">
        <v>32.467500000000001</v>
      </c>
      <c r="E63" s="186">
        <v>97755</v>
      </c>
      <c r="F63" s="186">
        <v>188</v>
      </c>
      <c r="G63" s="187">
        <v>38.083199999999998</v>
      </c>
      <c r="H63" s="186">
        <v>96612</v>
      </c>
      <c r="I63" s="186">
        <v>279</v>
      </c>
      <c r="J63" s="187">
        <v>35.240400000000001</v>
      </c>
      <c r="O63" s="155" t="s">
        <v>236</v>
      </c>
    </row>
    <row r="64" spans="1:19" x14ac:dyDescent="0.3">
      <c r="A64" s="188" t="s">
        <v>169</v>
      </c>
      <c r="B64" s="186">
        <v>95172</v>
      </c>
      <c r="C64" s="186">
        <v>409</v>
      </c>
      <c r="D64" s="187">
        <v>31.5854</v>
      </c>
      <c r="E64" s="186">
        <v>97571</v>
      </c>
      <c r="F64" s="186">
        <v>206</v>
      </c>
      <c r="G64" s="187">
        <v>37.1541</v>
      </c>
      <c r="H64" s="186">
        <v>96343</v>
      </c>
      <c r="I64" s="186">
        <v>308</v>
      </c>
      <c r="J64" s="187">
        <v>34.337600000000002</v>
      </c>
      <c r="L64" s="202"/>
      <c r="M64" s="202"/>
      <c r="N64" s="202" t="s">
        <v>229</v>
      </c>
      <c r="O64" s="202"/>
      <c r="P64" s="202" t="s">
        <v>230</v>
      </c>
    </row>
    <row r="65" spans="1:16" x14ac:dyDescent="0.3">
      <c r="A65" s="188" t="s">
        <v>170</v>
      </c>
      <c r="B65" s="186">
        <v>94783</v>
      </c>
      <c r="C65" s="186">
        <v>453</v>
      </c>
      <c r="D65" s="187">
        <v>30.713000000000001</v>
      </c>
      <c r="E65" s="186">
        <v>97371</v>
      </c>
      <c r="F65" s="186">
        <v>223</v>
      </c>
      <c r="G65" s="187">
        <v>36.229599999999998</v>
      </c>
      <c r="H65" s="186">
        <v>96045</v>
      </c>
      <c r="I65" s="186">
        <v>339</v>
      </c>
      <c r="J65" s="187">
        <v>33.442300000000003</v>
      </c>
      <c r="L65" s="202"/>
      <c r="M65" s="203" t="s">
        <v>235</v>
      </c>
      <c r="N65" s="203" t="s">
        <v>234</v>
      </c>
      <c r="O65" s="203" t="s">
        <v>235</v>
      </c>
      <c r="P65" s="203" t="s">
        <v>234</v>
      </c>
    </row>
    <row r="66" spans="1:16" x14ac:dyDescent="0.3">
      <c r="A66" s="188" t="s">
        <v>171</v>
      </c>
      <c r="B66" s="186">
        <v>94353</v>
      </c>
      <c r="C66" s="186">
        <v>509</v>
      </c>
      <c r="D66" s="187">
        <v>29.8506</v>
      </c>
      <c r="E66" s="186">
        <v>97153</v>
      </c>
      <c r="F66" s="186">
        <v>251</v>
      </c>
      <c r="G66" s="187">
        <v>35.309399999999997</v>
      </c>
      <c r="H66" s="186">
        <v>95720</v>
      </c>
      <c r="I66" s="186">
        <v>381</v>
      </c>
      <c r="J66" s="187">
        <v>32.554400000000001</v>
      </c>
      <c r="L66" s="204">
        <v>0</v>
      </c>
      <c r="M66" s="205">
        <f>C15/100</f>
        <v>3.72</v>
      </c>
      <c r="N66" s="205">
        <v>13.260937901608639</v>
      </c>
      <c r="O66" s="205">
        <f>F15/100</f>
        <v>3.11</v>
      </c>
      <c r="P66" s="205">
        <v>9.397689309538455</v>
      </c>
    </row>
    <row r="67" spans="1:16" x14ac:dyDescent="0.3">
      <c r="A67" s="188" t="s">
        <v>172</v>
      </c>
      <c r="B67" s="186">
        <v>93872</v>
      </c>
      <c r="C67" s="186">
        <v>562</v>
      </c>
      <c r="D67" s="187">
        <v>29.000800000000002</v>
      </c>
      <c r="E67" s="186">
        <v>96910</v>
      </c>
      <c r="F67" s="186">
        <v>264</v>
      </c>
      <c r="G67" s="187">
        <v>34.396999999999998</v>
      </c>
      <c r="H67" s="186">
        <v>95355</v>
      </c>
      <c r="I67" s="186">
        <v>414</v>
      </c>
      <c r="J67" s="187">
        <v>31.677099999999999</v>
      </c>
      <c r="L67" s="204">
        <v>1</v>
      </c>
      <c r="M67" s="205">
        <f>1000*(1-B20/B16)</f>
        <v>0.72268840085121244</v>
      </c>
      <c r="N67" s="205">
        <v>1.1358673630324048</v>
      </c>
      <c r="O67" s="205">
        <f>1000*(1-E20/E16)</f>
        <v>0.60187182136439699</v>
      </c>
      <c r="P67" s="205">
        <v>0.85287166819828963</v>
      </c>
    </row>
    <row r="68" spans="1:16" x14ac:dyDescent="0.3">
      <c r="A68" s="188" t="s">
        <v>173</v>
      </c>
      <c r="B68" s="186">
        <v>93345</v>
      </c>
      <c r="C68" s="186">
        <v>621</v>
      </c>
      <c r="D68" s="187">
        <v>28.161799999999999</v>
      </c>
      <c r="E68" s="186">
        <v>96654</v>
      </c>
      <c r="F68" s="186">
        <v>287</v>
      </c>
      <c r="G68" s="187">
        <v>33.486600000000003</v>
      </c>
      <c r="H68" s="186">
        <v>94960</v>
      </c>
      <c r="I68" s="186">
        <v>455</v>
      </c>
      <c r="J68" s="187">
        <v>30.8066</v>
      </c>
      <c r="L68" s="204">
        <v>5</v>
      </c>
      <c r="M68" s="205">
        <f>1000*(1-B25/B20)</f>
        <v>0.46205150869860212</v>
      </c>
      <c r="N68" s="205">
        <v>0.88520878127779246</v>
      </c>
      <c r="O68" s="205">
        <f>1000*(1-E25/E20)</f>
        <v>0.37137781168128381</v>
      </c>
      <c r="P68" s="205">
        <v>0.49739062119942573</v>
      </c>
    </row>
    <row r="69" spans="1:16" x14ac:dyDescent="0.3">
      <c r="A69" s="188" t="s">
        <v>174</v>
      </c>
      <c r="B69" s="186">
        <v>92766</v>
      </c>
      <c r="C69" s="186">
        <v>675</v>
      </c>
      <c r="D69" s="187">
        <v>27.334599999999998</v>
      </c>
      <c r="E69" s="186">
        <v>96377</v>
      </c>
      <c r="F69" s="186">
        <v>306</v>
      </c>
      <c r="G69" s="187">
        <v>32.581400000000002</v>
      </c>
      <c r="H69" s="186">
        <v>94528</v>
      </c>
      <c r="I69" s="186">
        <v>491</v>
      </c>
      <c r="J69" s="187">
        <v>29.9452</v>
      </c>
      <c r="L69" s="204">
        <f t="shared" ref="L69:L83" si="9">L68+5</f>
        <v>10</v>
      </c>
      <c r="M69" s="205">
        <f>1000*(1-B30/B25)</f>
        <v>0.53260978796099145</v>
      </c>
      <c r="N69" s="205">
        <v>0.97957714436157894</v>
      </c>
      <c r="O69" s="205">
        <f>1000*(1-E30/E25)</f>
        <v>0.41167965298416487</v>
      </c>
      <c r="P69" s="205">
        <v>0.50797950984875451</v>
      </c>
    </row>
    <row r="70" spans="1:16" x14ac:dyDescent="0.3">
      <c r="A70" s="188" t="s">
        <v>175</v>
      </c>
      <c r="B70" s="186">
        <v>92139</v>
      </c>
      <c r="C70" s="186">
        <v>743</v>
      </c>
      <c r="D70" s="187">
        <v>26.516999999999999</v>
      </c>
      <c r="E70" s="186">
        <v>96083</v>
      </c>
      <c r="F70" s="186">
        <v>329</v>
      </c>
      <c r="G70" s="187">
        <v>31.6798</v>
      </c>
      <c r="H70" s="186">
        <v>94064</v>
      </c>
      <c r="I70" s="186">
        <v>536</v>
      </c>
      <c r="J70" s="187">
        <v>29.090499999999999</v>
      </c>
      <c r="L70" s="204">
        <f t="shared" si="9"/>
        <v>15</v>
      </c>
      <c r="M70" s="205">
        <f>1000*(1-B35/B30)</f>
        <v>2.0209738882129846</v>
      </c>
      <c r="N70" s="205">
        <v>2.1147847267220143</v>
      </c>
      <c r="O70" s="205">
        <f>1000*(1-E35/E30)</f>
        <v>0.84378861086276125</v>
      </c>
      <c r="P70" s="205">
        <v>0.99474012764581188</v>
      </c>
    </row>
    <row r="71" spans="1:16" x14ac:dyDescent="0.3">
      <c r="A71" s="188" t="s">
        <v>176</v>
      </c>
      <c r="B71" s="186">
        <v>91455</v>
      </c>
      <c r="C71" s="186">
        <v>799</v>
      </c>
      <c r="D71" s="187">
        <v>25.7117</v>
      </c>
      <c r="E71" s="186">
        <v>95767</v>
      </c>
      <c r="F71" s="186">
        <v>348</v>
      </c>
      <c r="G71" s="187">
        <v>30.782599999999999</v>
      </c>
      <c r="H71" s="186">
        <v>93559</v>
      </c>
      <c r="I71" s="186">
        <v>574</v>
      </c>
      <c r="J71" s="187">
        <v>28.244700000000002</v>
      </c>
      <c r="L71" s="204">
        <f t="shared" si="9"/>
        <v>20</v>
      </c>
      <c r="M71" s="205">
        <f>1000*(1-B40/B35)</f>
        <v>3.5363101474973346</v>
      </c>
      <c r="N71" s="205">
        <v>2.8460441007199107</v>
      </c>
      <c r="O71" s="205">
        <f>1000*(1-E40/E35)</f>
        <v>1.1963766877456372</v>
      </c>
      <c r="P71" s="205">
        <v>1.4418660959600234</v>
      </c>
    </row>
    <row r="72" spans="1:16" x14ac:dyDescent="0.3">
      <c r="A72" s="188" t="s">
        <v>177</v>
      </c>
      <c r="B72" s="186">
        <v>90724</v>
      </c>
      <c r="C72" s="186">
        <v>846</v>
      </c>
      <c r="D72" s="187">
        <v>24.914899999999999</v>
      </c>
      <c r="E72" s="186">
        <v>95434</v>
      </c>
      <c r="F72" s="186">
        <v>374</v>
      </c>
      <c r="G72" s="187">
        <v>29.888300000000001</v>
      </c>
      <c r="H72" s="186">
        <v>93022</v>
      </c>
      <c r="I72" s="186">
        <v>610</v>
      </c>
      <c r="J72" s="187">
        <v>27.404800000000002</v>
      </c>
      <c r="L72" s="204">
        <f t="shared" si="9"/>
        <v>25</v>
      </c>
      <c r="M72" s="205">
        <f>1000*(1-B45/B40)</f>
        <v>4.1049491936706595</v>
      </c>
      <c r="N72" s="205">
        <v>2.8442199672980908</v>
      </c>
      <c r="O72" s="205">
        <f>1000*(1-E45/E40)</f>
        <v>1.4192535330354028</v>
      </c>
      <c r="P72" s="205">
        <v>1.7706985985217667</v>
      </c>
    </row>
    <row r="73" spans="1:16" x14ac:dyDescent="0.3">
      <c r="A73" s="188" t="s">
        <v>178</v>
      </c>
      <c r="B73" s="186">
        <v>89956</v>
      </c>
      <c r="C73" s="186">
        <v>911</v>
      </c>
      <c r="D73" s="187">
        <v>24.1233</v>
      </c>
      <c r="E73" s="186">
        <v>95077</v>
      </c>
      <c r="F73" s="186">
        <v>393</v>
      </c>
      <c r="G73" s="187">
        <v>28.998699999999999</v>
      </c>
      <c r="H73" s="186">
        <v>92455</v>
      </c>
      <c r="I73" s="186">
        <v>651</v>
      </c>
      <c r="J73" s="187">
        <v>26.569900000000001</v>
      </c>
      <c r="L73" s="204">
        <f t="shared" si="9"/>
        <v>30</v>
      </c>
      <c r="M73" s="205">
        <f>1000*(1-B50/B45)</f>
        <v>4.6700981735855462</v>
      </c>
      <c r="N73" s="205">
        <v>3.2543745603249166</v>
      </c>
      <c r="O73" s="205">
        <f>1000*(1-E50/E45)</f>
        <v>1.8547078331165867</v>
      </c>
      <c r="P73" s="205">
        <v>2.1426414259168745</v>
      </c>
    </row>
    <row r="74" spans="1:16" x14ac:dyDescent="0.3">
      <c r="A74" s="188" t="s">
        <v>179</v>
      </c>
      <c r="B74" s="186">
        <v>89136</v>
      </c>
      <c r="C74" s="186">
        <v>968</v>
      </c>
      <c r="D74" s="187">
        <v>23.340599999999998</v>
      </c>
      <c r="E74" s="186">
        <v>94703</v>
      </c>
      <c r="F74" s="186">
        <v>414</v>
      </c>
      <c r="G74" s="187">
        <v>28.1112</v>
      </c>
      <c r="H74" s="186">
        <v>91853</v>
      </c>
      <c r="I74" s="186">
        <v>690</v>
      </c>
      <c r="J74" s="187">
        <v>25.7409</v>
      </c>
      <c r="L74" s="204">
        <f t="shared" si="9"/>
        <v>35</v>
      </c>
      <c r="M74" s="205">
        <f>1000*(1-B55/B50)</f>
        <v>6.5892144962719223</v>
      </c>
      <c r="N74" s="205">
        <v>4.2294498501373186</v>
      </c>
      <c r="O74" s="205">
        <f>1000*(1-E55/E50)</f>
        <v>3.0497965119214987</v>
      </c>
      <c r="P74" s="205">
        <v>3.0647984742901437</v>
      </c>
    </row>
    <row r="75" spans="1:16" x14ac:dyDescent="0.3">
      <c r="A75" s="188" t="s">
        <v>180</v>
      </c>
      <c r="B75" s="186">
        <v>88273</v>
      </c>
      <c r="C75" s="186">
        <v>1034</v>
      </c>
      <c r="D75" s="187">
        <v>22.5639</v>
      </c>
      <c r="E75" s="186">
        <v>94310</v>
      </c>
      <c r="F75" s="186">
        <v>441</v>
      </c>
      <c r="G75" s="187">
        <v>27.226199999999999</v>
      </c>
      <c r="H75" s="186">
        <v>91219</v>
      </c>
      <c r="I75" s="186">
        <v>735</v>
      </c>
      <c r="J75" s="187">
        <v>24.9162</v>
      </c>
      <c r="L75" s="204">
        <f t="shared" si="9"/>
        <v>40</v>
      </c>
      <c r="M75" s="205">
        <f>1000*(1-B60/B55)</f>
        <v>10.308749088743575</v>
      </c>
      <c r="N75" s="205">
        <v>6.9345224727214365</v>
      </c>
      <c r="O75" s="205">
        <f>1000*(1-E60/E55)</f>
        <v>5.125555859442299</v>
      </c>
      <c r="P75" s="205">
        <v>4.6689031475384351</v>
      </c>
    </row>
    <row r="76" spans="1:16" x14ac:dyDescent="0.3">
      <c r="A76" s="188" t="s">
        <v>181</v>
      </c>
      <c r="B76" s="186">
        <v>87360</v>
      </c>
      <c r="C76" s="186">
        <v>1099</v>
      </c>
      <c r="D76" s="187">
        <v>21.794499999999999</v>
      </c>
      <c r="E76" s="186">
        <v>93894</v>
      </c>
      <c r="F76" s="186">
        <v>472</v>
      </c>
      <c r="G76" s="187">
        <v>26.3445</v>
      </c>
      <c r="H76" s="186">
        <v>90549</v>
      </c>
      <c r="I76" s="186">
        <v>781</v>
      </c>
      <c r="J76" s="187">
        <v>24.096900000000002</v>
      </c>
      <c r="L76" s="204">
        <f t="shared" si="9"/>
        <v>45</v>
      </c>
      <c r="M76" s="205">
        <f>1000*(1-B65/B60)</f>
        <v>16.661652263225022</v>
      </c>
      <c r="N76" s="205">
        <v>12.762883417241436</v>
      </c>
      <c r="O76" s="205">
        <f>1000*(1-E65/E60)</f>
        <v>8.5933920480578685</v>
      </c>
      <c r="P76" s="205">
        <v>8.4474745900813346</v>
      </c>
    </row>
    <row r="77" spans="1:16" x14ac:dyDescent="0.3">
      <c r="A77" s="188" t="s">
        <v>182</v>
      </c>
      <c r="B77" s="186">
        <v>86400</v>
      </c>
      <c r="C77" s="186">
        <v>1143</v>
      </c>
      <c r="D77" s="187">
        <v>21.030999999999999</v>
      </c>
      <c r="E77" s="186">
        <v>93452</v>
      </c>
      <c r="F77" s="186">
        <v>503</v>
      </c>
      <c r="G77" s="187">
        <v>25.466899999999999</v>
      </c>
      <c r="H77" s="186">
        <v>89841</v>
      </c>
      <c r="I77" s="186">
        <v>818</v>
      </c>
      <c r="J77" s="187">
        <v>23.282699999999998</v>
      </c>
      <c r="L77" s="204">
        <f t="shared" si="9"/>
        <v>50</v>
      </c>
      <c r="M77" s="205">
        <f>1000*(1-B70/B65)</f>
        <v>27.895297679963683</v>
      </c>
      <c r="N77" s="205">
        <v>22.573242606899814</v>
      </c>
      <c r="O77" s="205">
        <f>1000*(1-E70/E65)</f>
        <v>13.227757751281155</v>
      </c>
      <c r="P77" s="205">
        <v>14.268812580037451</v>
      </c>
    </row>
    <row r="78" spans="1:16" x14ac:dyDescent="0.3">
      <c r="A78" s="188" t="s">
        <v>183</v>
      </c>
      <c r="B78" s="186">
        <v>85413</v>
      </c>
      <c r="C78" s="186">
        <v>1220</v>
      </c>
      <c r="D78" s="187">
        <v>20.2684</v>
      </c>
      <c r="E78" s="186">
        <v>92981</v>
      </c>
      <c r="F78" s="186">
        <v>530</v>
      </c>
      <c r="G78" s="187">
        <v>24.5932</v>
      </c>
      <c r="H78" s="186">
        <v>89106</v>
      </c>
      <c r="I78" s="186">
        <v>869</v>
      </c>
      <c r="J78" s="187">
        <v>22.470700000000001</v>
      </c>
      <c r="L78" s="204">
        <f t="shared" si="9"/>
        <v>55</v>
      </c>
      <c r="M78" s="205">
        <f>1000*(1-B75/B70)</f>
        <v>41.958345543146812</v>
      </c>
      <c r="N78" s="205">
        <v>38.218737562266696</v>
      </c>
      <c r="O78" s="205">
        <f>1000*(1-E75/E70)</f>
        <v>18.45279602010763</v>
      </c>
      <c r="P78" s="205">
        <v>23.140835429718368</v>
      </c>
    </row>
    <row r="79" spans="1:16" x14ac:dyDescent="0.3">
      <c r="A79" s="188" t="s">
        <v>184</v>
      </c>
      <c r="B79" s="186">
        <v>84371</v>
      </c>
      <c r="C79" s="186">
        <v>1294</v>
      </c>
      <c r="D79" s="187">
        <v>19.5124</v>
      </c>
      <c r="E79" s="186">
        <v>92488</v>
      </c>
      <c r="F79" s="186">
        <v>564</v>
      </c>
      <c r="G79" s="187">
        <v>23.721699999999998</v>
      </c>
      <c r="H79" s="186">
        <v>88332</v>
      </c>
      <c r="I79" s="186">
        <v>921</v>
      </c>
      <c r="J79" s="187">
        <v>21.6632</v>
      </c>
      <c r="L79" s="204">
        <f t="shared" si="9"/>
        <v>60</v>
      </c>
      <c r="M79" s="205">
        <f>1000*(1-B80/B75)</f>
        <v>56.563162008768209</v>
      </c>
      <c r="N79" s="205">
        <v>65.772957191810065</v>
      </c>
      <c r="O79" s="205">
        <f>1000*(1-E80/E75)</f>
        <v>24.854204220125077</v>
      </c>
      <c r="P79" s="205">
        <v>40.820070990752804</v>
      </c>
    </row>
    <row r="80" spans="1:16" x14ac:dyDescent="0.3">
      <c r="A80" s="188" t="s">
        <v>185</v>
      </c>
      <c r="B80" s="186">
        <v>83280</v>
      </c>
      <c r="C80" s="186">
        <v>1405</v>
      </c>
      <c r="D80" s="187">
        <v>18.761700000000001</v>
      </c>
      <c r="E80" s="186">
        <v>91966</v>
      </c>
      <c r="F80" s="186">
        <v>617</v>
      </c>
      <c r="G80" s="187">
        <v>22.853400000000001</v>
      </c>
      <c r="H80" s="186">
        <v>87519</v>
      </c>
      <c r="I80" s="186">
        <v>1001</v>
      </c>
      <c r="J80" s="187">
        <v>20.8599</v>
      </c>
      <c r="L80" s="204">
        <f t="shared" si="9"/>
        <v>65</v>
      </c>
      <c r="M80" s="205">
        <f>1000*(1-B85/B80)</f>
        <v>76.801152737752119</v>
      </c>
      <c r="N80" s="205">
        <v>113.84894333304437</v>
      </c>
      <c r="O80" s="205">
        <f>1000*(1-E85/E80)</f>
        <v>35.208664071504693</v>
      </c>
      <c r="P80" s="205">
        <v>72.768501760264712</v>
      </c>
    </row>
    <row r="81" spans="1:16" x14ac:dyDescent="0.3">
      <c r="A81" s="188" t="s">
        <v>186</v>
      </c>
      <c r="B81" s="186">
        <v>82110</v>
      </c>
      <c r="C81" s="186">
        <v>1460</v>
      </c>
      <c r="D81" s="187">
        <v>18.021899999999999</v>
      </c>
      <c r="E81" s="186">
        <v>91399</v>
      </c>
      <c r="F81" s="186">
        <v>653</v>
      </c>
      <c r="G81" s="187">
        <v>21.9922</v>
      </c>
      <c r="H81" s="186">
        <v>86643</v>
      </c>
      <c r="I81" s="186">
        <v>1044</v>
      </c>
      <c r="J81" s="187">
        <v>20.0657</v>
      </c>
      <c r="L81" s="204">
        <f t="shared" si="9"/>
        <v>70</v>
      </c>
      <c r="M81" s="205">
        <f>1000*(1-B90/B85)</f>
        <v>110.21799073929562</v>
      </c>
      <c r="N81" s="205">
        <v>180.1986354357347</v>
      </c>
      <c r="O81" s="205">
        <f>1000*(1-E90/E85)</f>
        <v>53.399152465963382</v>
      </c>
      <c r="P81" s="205">
        <v>137.89640073921726</v>
      </c>
    </row>
    <row r="82" spans="1:16" x14ac:dyDescent="0.3">
      <c r="A82" s="188" t="s">
        <v>187</v>
      </c>
      <c r="B82" s="186">
        <v>80911</v>
      </c>
      <c r="C82" s="186">
        <v>1586</v>
      </c>
      <c r="D82" s="187">
        <v>17.281400000000001</v>
      </c>
      <c r="E82" s="186">
        <v>90802</v>
      </c>
      <c r="F82" s="186">
        <v>705</v>
      </c>
      <c r="G82" s="187">
        <v>21.133500000000002</v>
      </c>
      <c r="H82" s="186">
        <v>85738</v>
      </c>
      <c r="I82" s="186">
        <v>1130</v>
      </c>
      <c r="J82" s="187">
        <v>19.272300000000001</v>
      </c>
      <c r="L82" s="204">
        <f t="shared" si="9"/>
        <v>75</v>
      </c>
      <c r="M82" s="205">
        <f>1000*(1-B95/B90)</f>
        <v>175.19368513375233</v>
      </c>
      <c r="N82" s="205">
        <v>298.63526220945806</v>
      </c>
      <c r="O82" s="205">
        <f>1000*(1-E95/E90)</f>
        <v>94.594594594594625</v>
      </c>
      <c r="P82" s="205">
        <v>249.24967251629243</v>
      </c>
    </row>
    <row r="83" spans="1:16" x14ac:dyDescent="0.3">
      <c r="A83" s="188" t="s">
        <v>188</v>
      </c>
      <c r="B83" s="186">
        <v>79628</v>
      </c>
      <c r="C83" s="186">
        <v>1695</v>
      </c>
      <c r="D83" s="187">
        <v>16.5519</v>
      </c>
      <c r="E83" s="186">
        <v>90162</v>
      </c>
      <c r="F83" s="186">
        <v>775</v>
      </c>
      <c r="G83" s="187">
        <v>20.279900000000001</v>
      </c>
      <c r="H83" s="186">
        <v>84769</v>
      </c>
      <c r="I83" s="186">
        <v>1218</v>
      </c>
      <c r="J83" s="187">
        <v>18.486899999999999</v>
      </c>
      <c r="L83" s="204">
        <f t="shared" si="9"/>
        <v>80</v>
      </c>
      <c r="M83" s="205">
        <f>1000*(1-B100/B95)</f>
        <v>290.68675232609667</v>
      </c>
      <c r="N83" s="205">
        <v>481.18308038510634</v>
      </c>
      <c r="O83" s="205">
        <f>1000*(1-E100/E95)</f>
        <v>181.62929844171217</v>
      </c>
      <c r="P83" s="205">
        <v>419.33514051748978</v>
      </c>
    </row>
    <row r="84" spans="1:16" x14ac:dyDescent="0.3">
      <c r="A84" s="188" t="s">
        <v>189</v>
      </c>
      <c r="B84" s="186">
        <v>78278</v>
      </c>
      <c r="C84" s="186">
        <v>1781</v>
      </c>
      <c r="D84" s="187">
        <v>15.8286</v>
      </c>
      <c r="E84" s="186">
        <v>89463</v>
      </c>
      <c r="F84" s="186">
        <v>821</v>
      </c>
      <c r="G84" s="187">
        <v>19.4344</v>
      </c>
      <c r="H84" s="186">
        <v>83736</v>
      </c>
      <c r="I84" s="186">
        <v>1281</v>
      </c>
      <c r="J84" s="187">
        <v>17.708600000000001</v>
      </c>
    </row>
    <row r="85" spans="1:16" x14ac:dyDescent="0.3">
      <c r="A85" s="188" t="s">
        <v>190</v>
      </c>
      <c r="B85" s="186">
        <v>76884</v>
      </c>
      <c r="C85" s="186">
        <v>1941</v>
      </c>
      <c r="D85" s="187">
        <v>15.1066</v>
      </c>
      <c r="E85" s="186">
        <v>88728</v>
      </c>
      <c r="F85" s="186">
        <v>882</v>
      </c>
      <c r="G85" s="187">
        <v>18.5913</v>
      </c>
      <c r="H85" s="186">
        <v>82664</v>
      </c>
      <c r="I85" s="186">
        <v>1387</v>
      </c>
      <c r="J85" s="187">
        <v>16.931899999999999</v>
      </c>
    </row>
    <row r="86" spans="1:16" x14ac:dyDescent="0.3">
      <c r="A86" s="188" t="s">
        <v>191</v>
      </c>
      <c r="B86" s="186">
        <v>75391</v>
      </c>
      <c r="C86" s="186">
        <v>2085</v>
      </c>
      <c r="D86" s="187">
        <v>14.395799999999999</v>
      </c>
      <c r="E86" s="186">
        <v>87945</v>
      </c>
      <c r="F86" s="186">
        <v>970</v>
      </c>
      <c r="G86" s="187">
        <v>17.752300000000002</v>
      </c>
      <c r="H86" s="186">
        <v>81518</v>
      </c>
      <c r="I86" s="186">
        <v>1498</v>
      </c>
      <c r="J86" s="187">
        <v>16.1629</v>
      </c>
    </row>
    <row r="87" spans="1:16" x14ac:dyDescent="0.3">
      <c r="A87" s="188" t="s">
        <v>192</v>
      </c>
      <c r="B87" s="186">
        <v>73819</v>
      </c>
      <c r="C87" s="186">
        <v>2308</v>
      </c>
      <c r="D87" s="187">
        <v>13.691700000000001</v>
      </c>
      <c r="E87" s="186">
        <v>87092</v>
      </c>
      <c r="F87" s="186">
        <v>1084</v>
      </c>
      <c r="G87" s="187">
        <v>16.921299999999999</v>
      </c>
      <c r="H87" s="186">
        <v>80296</v>
      </c>
      <c r="I87" s="186">
        <v>1660</v>
      </c>
      <c r="J87" s="187">
        <v>15.401199999999999</v>
      </c>
    </row>
    <row r="88" spans="1:16" x14ac:dyDescent="0.3">
      <c r="A88" s="188" t="s">
        <v>193</v>
      </c>
      <c r="B88" s="186">
        <v>72116</v>
      </c>
      <c r="C88" s="186">
        <v>2495</v>
      </c>
      <c r="D88" s="187">
        <v>13.003399999999999</v>
      </c>
      <c r="E88" s="186">
        <v>86148</v>
      </c>
      <c r="F88" s="186">
        <v>1212</v>
      </c>
      <c r="G88" s="187">
        <v>16.101299999999998</v>
      </c>
      <c r="H88" s="186">
        <v>78963</v>
      </c>
      <c r="I88" s="186">
        <v>1812</v>
      </c>
      <c r="J88" s="187">
        <v>14.652699999999999</v>
      </c>
    </row>
    <row r="89" spans="1:16" x14ac:dyDescent="0.3">
      <c r="A89" s="188" t="s">
        <v>194</v>
      </c>
      <c r="B89" s="186">
        <v>70316</v>
      </c>
      <c r="C89" s="186">
        <v>2711</v>
      </c>
      <c r="D89" s="187">
        <v>12.3233</v>
      </c>
      <c r="E89" s="186">
        <v>85104</v>
      </c>
      <c r="F89" s="186">
        <v>1310</v>
      </c>
      <c r="G89" s="187">
        <v>15.2927</v>
      </c>
      <c r="H89" s="186">
        <v>77533</v>
      </c>
      <c r="I89" s="186">
        <v>1960</v>
      </c>
      <c r="J89" s="187">
        <v>13.9139</v>
      </c>
    </row>
    <row r="90" spans="1:16" x14ac:dyDescent="0.3">
      <c r="A90" s="188" t="s">
        <v>195</v>
      </c>
      <c r="B90" s="186">
        <v>68410</v>
      </c>
      <c r="C90" s="186">
        <v>3029</v>
      </c>
      <c r="D90" s="187">
        <v>11.652799999999999</v>
      </c>
      <c r="E90" s="186">
        <v>83990</v>
      </c>
      <c r="F90" s="186">
        <v>1491</v>
      </c>
      <c r="G90" s="187">
        <v>14.489000000000001</v>
      </c>
      <c r="H90" s="186">
        <v>76013</v>
      </c>
      <c r="I90" s="186">
        <v>2200</v>
      </c>
      <c r="J90" s="187">
        <v>13.1821</v>
      </c>
    </row>
    <row r="91" spans="1:16" x14ac:dyDescent="0.3">
      <c r="A91" s="188" t="s">
        <v>196</v>
      </c>
      <c r="B91" s="186">
        <v>66337</v>
      </c>
      <c r="C91" s="186">
        <v>3336</v>
      </c>
      <c r="D91" s="187">
        <v>11.001200000000001</v>
      </c>
      <c r="E91" s="186">
        <v>82737</v>
      </c>
      <c r="F91" s="186">
        <v>1712</v>
      </c>
      <c r="G91" s="187">
        <v>13.700799999999999</v>
      </c>
      <c r="H91" s="186">
        <v>74340</v>
      </c>
      <c r="I91" s="186">
        <v>2454</v>
      </c>
      <c r="J91" s="187">
        <v>12.4674</v>
      </c>
    </row>
    <row r="92" spans="1:16" x14ac:dyDescent="0.3">
      <c r="A92" s="188" t="s">
        <v>197</v>
      </c>
      <c r="B92" s="186">
        <v>64124</v>
      </c>
      <c r="C92" s="186">
        <v>3696</v>
      </c>
      <c r="D92" s="187">
        <v>10.3636</v>
      </c>
      <c r="E92" s="186">
        <v>81321</v>
      </c>
      <c r="F92" s="186">
        <v>1931</v>
      </c>
      <c r="G92" s="187">
        <v>12.9306</v>
      </c>
      <c r="H92" s="186">
        <v>72516</v>
      </c>
      <c r="I92" s="186">
        <v>2730</v>
      </c>
      <c r="J92" s="187">
        <v>11.7684</v>
      </c>
    </row>
    <row r="93" spans="1:16" x14ac:dyDescent="0.3">
      <c r="A93" s="188" t="s">
        <v>198</v>
      </c>
      <c r="B93" s="186">
        <v>61755</v>
      </c>
      <c r="C93" s="186">
        <v>4144</v>
      </c>
      <c r="D93" s="187">
        <v>9.7421000000000006</v>
      </c>
      <c r="E93" s="186">
        <v>79750</v>
      </c>
      <c r="F93" s="186">
        <v>2173</v>
      </c>
      <c r="G93" s="187">
        <v>12.1755</v>
      </c>
      <c r="H93" s="186">
        <v>70536</v>
      </c>
      <c r="I93" s="186">
        <v>3056</v>
      </c>
      <c r="J93" s="187">
        <v>11.0847</v>
      </c>
    </row>
    <row r="94" spans="1:16" x14ac:dyDescent="0.3">
      <c r="A94" s="188" t="s">
        <v>199</v>
      </c>
      <c r="B94" s="186">
        <v>59196</v>
      </c>
      <c r="C94" s="186">
        <v>4681</v>
      </c>
      <c r="D94" s="187">
        <v>9.1417000000000002</v>
      </c>
      <c r="E94" s="186">
        <v>78017</v>
      </c>
      <c r="F94" s="186">
        <v>2528</v>
      </c>
      <c r="G94" s="187">
        <v>11.434799999999999</v>
      </c>
      <c r="H94" s="186">
        <v>68381</v>
      </c>
      <c r="I94" s="186">
        <v>3482</v>
      </c>
      <c r="J94" s="187">
        <v>10.4184</v>
      </c>
    </row>
    <row r="95" spans="1:16" x14ac:dyDescent="0.3">
      <c r="A95" s="188" t="s">
        <v>200</v>
      </c>
      <c r="B95" s="186">
        <v>56425</v>
      </c>
      <c r="C95" s="186">
        <v>5148</v>
      </c>
      <c r="D95" s="187">
        <v>8.5660000000000007</v>
      </c>
      <c r="E95" s="186">
        <v>76045</v>
      </c>
      <c r="F95" s="186">
        <v>2894</v>
      </c>
      <c r="G95" s="187">
        <v>10.718400000000001</v>
      </c>
      <c r="H95" s="186">
        <v>65999</v>
      </c>
      <c r="I95" s="186">
        <v>3880</v>
      </c>
      <c r="J95" s="187">
        <v>9.7763000000000009</v>
      </c>
    </row>
    <row r="96" spans="1:16" x14ac:dyDescent="0.3">
      <c r="A96" s="188" t="s">
        <v>201</v>
      </c>
      <c r="B96" s="186">
        <v>53520</v>
      </c>
      <c r="C96" s="186">
        <v>5808</v>
      </c>
      <c r="D96" s="187">
        <v>8.0038</v>
      </c>
      <c r="E96" s="186">
        <v>73844</v>
      </c>
      <c r="F96" s="186">
        <v>3359</v>
      </c>
      <c r="G96" s="187">
        <v>10.0229</v>
      </c>
      <c r="H96" s="186">
        <v>63438</v>
      </c>
      <c r="I96" s="186">
        <v>4417</v>
      </c>
      <c r="J96" s="187">
        <v>9.1508000000000003</v>
      </c>
    </row>
    <row r="97" spans="1:10" x14ac:dyDescent="0.3">
      <c r="A97" s="188" t="s">
        <v>202</v>
      </c>
      <c r="B97" s="186">
        <v>50411</v>
      </c>
      <c r="C97" s="186">
        <v>6566</v>
      </c>
      <c r="D97" s="187">
        <v>7.4664999999999999</v>
      </c>
      <c r="E97" s="186">
        <v>71364</v>
      </c>
      <c r="F97" s="186">
        <v>3829</v>
      </c>
      <c r="G97" s="187">
        <v>9.3538999999999994</v>
      </c>
      <c r="H97" s="186">
        <v>60636</v>
      </c>
      <c r="I97" s="186">
        <v>4994</v>
      </c>
      <c r="J97" s="187">
        <v>8.5504999999999995</v>
      </c>
    </row>
    <row r="98" spans="1:10" x14ac:dyDescent="0.3">
      <c r="A98" s="188" t="s">
        <v>203</v>
      </c>
      <c r="B98" s="186">
        <v>47101</v>
      </c>
      <c r="C98" s="186">
        <v>7388</v>
      </c>
      <c r="D98" s="187">
        <v>6.9561000000000002</v>
      </c>
      <c r="E98" s="186">
        <v>68632</v>
      </c>
      <c r="F98" s="186">
        <v>4455</v>
      </c>
      <c r="G98" s="187">
        <v>8.7064000000000004</v>
      </c>
      <c r="H98" s="186">
        <v>57608</v>
      </c>
      <c r="I98" s="186">
        <v>5683</v>
      </c>
      <c r="J98" s="187">
        <v>7.9737</v>
      </c>
    </row>
    <row r="99" spans="1:10" x14ac:dyDescent="0.3">
      <c r="A99" s="188" t="s">
        <v>204</v>
      </c>
      <c r="B99" s="186">
        <v>43621</v>
      </c>
      <c r="C99" s="186">
        <v>8250</v>
      </c>
      <c r="D99" s="187">
        <v>6.4711999999999996</v>
      </c>
      <c r="E99" s="186">
        <v>65574</v>
      </c>
      <c r="F99" s="186">
        <v>5096</v>
      </c>
      <c r="G99" s="187">
        <v>8.0890000000000004</v>
      </c>
      <c r="H99" s="186">
        <v>54334</v>
      </c>
      <c r="I99" s="186">
        <v>6393</v>
      </c>
      <c r="J99" s="187">
        <v>7.4240000000000004</v>
      </c>
    </row>
    <row r="100" spans="1:10" x14ac:dyDescent="0.3">
      <c r="A100" s="188" t="s">
        <v>205</v>
      </c>
      <c r="B100" s="186">
        <v>40023</v>
      </c>
      <c r="C100" s="186">
        <v>9249</v>
      </c>
      <c r="D100" s="187">
        <v>6.0080999999999998</v>
      </c>
      <c r="E100" s="186">
        <v>62233</v>
      </c>
      <c r="F100" s="186">
        <v>5896</v>
      </c>
      <c r="G100" s="187">
        <v>7.4965000000000002</v>
      </c>
      <c r="H100" s="186">
        <v>50861</v>
      </c>
      <c r="I100" s="186">
        <v>7247</v>
      </c>
      <c r="J100" s="187">
        <v>6.8967999999999998</v>
      </c>
    </row>
    <row r="101" spans="1:10" x14ac:dyDescent="0.3">
      <c r="A101" s="188" t="s">
        <v>206</v>
      </c>
      <c r="B101" s="186">
        <v>36321</v>
      </c>
      <c r="C101" s="186">
        <v>10458</v>
      </c>
      <c r="D101" s="187">
        <v>5.5693999999999999</v>
      </c>
      <c r="E101" s="186">
        <v>58563</v>
      </c>
      <c r="F101" s="186">
        <v>6792</v>
      </c>
      <c r="G101" s="187">
        <v>6.9348999999999998</v>
      </c>
      <c r="H101" s="186">
        <v>47175</v>
      </c>
      <c r="I101" s="186">
        <v>8237</v>
      </c>
      <c r="J101" s="187">
        <v>6.3966000000000003</v>
      </c>
    </row>
    <row r="102" spans="1:10" x14ac:dyDescent="0.3">
      <c r="A102" s="188" t="s">
        <v>207</v>
      </c>
      <c r="B102" s="186">
        <v>32523</v>
      </c>
      <c r="C102" s="186">
        <v>11648</v>
      </c>
      <c r="D102" s="187">
        <v>5.1615000000000002</v>
      </c>
      <c r="E102" s="186">
        <v>54586</v>
      </c>
      <c r="F102" s="186">
        <v>7774</v>
      </c>
      <c r="G102" s="187">
        <v>6.4038000000000004</v>
      </c>
      <c r="H102" s="186">
        <v>43289</v>
      </c>
      <c r="I102" s="186">
        <v>9264</v>
      </c>
      <c r="J102" s="187">
        <v>5.9259000000000004</v>
      </c>
    </row>
    <row r="103" spans="1:10" x14ac:dyDescent="0.3">
      <c r="A103" s="188" t="s">
        <v>208</v>
      </c>
      <c r="B103" s="186">
        <v>28734</v>
      </c>
      <c r="C103" s="186">
        <v>13133</v>
      </c>
      <c r="D103" s="187">
        <v>4.7760999999999996</v>
      </c>
      <c r="E103" s="186">
        <v>50342</v>
      </c>
      <c r="F103" s="186">
        <v>9024</v>
      </c>
      <c r="G103" s="187">
        <v>5.9015000000000004</v>
      </c>
      <c r="H103" s="186">
        <v>39279</v>
      </c>
      <c r="I103" s="186">
        <v>10563</v>
      </c>
      <c r="J103" s="187">
        <v>5.4798999999999998</v>
      </c>
    </row>
    <row r="104" spans="1:10" x14ac:dyDescent="0.3">
      <c r="A104" s="188" t="s">
        <v>209</v>
      </c>
      <c r="B104" s="186">
        <v>24961</v>
      </c>
      <c r="C104" s="186">
        <v>14610</v>
      </c>
      <c r="D104" s="187">
        <v>4.4226000000000001</v>
      </c>
      <c r="E104" s="186">
        <v>45799</v>
      </c>
      <c r="F104" s="186">
        <v>10318</v>
      </c>
      <c r="G104" s="187">
        <v>5.4371999999999998</v>
      </c>
      <c r="H104" s="186">
        <v>35130</v>
      </c>
      <c r="I104" s="186">
        <v>11880</v>
      </c>
      <c r="J104" s="187">
        <v>5.0681000000000003</v>
      </c>
    </row>
    <row r="105" spans="1:10" x14ac:dyDescent="0.3">
      <c r="A105" s="188" t="s">
        <v>210</v>
      </c>
      <c r="B105" s="186">
        <v>21314</v>
      </c>
      <c r="C105" s="186">
        <v>16321</v>
      </c>
      <c r="D105" s="187">
        <v>4.0937000000000001</v>
      </c>
      <c r="E105" s="186">
        <v>41073</v>
      </c>
      <c r="F105" s="186">
        <v>11846</v>
      </c>
      <c r="G105" s="187">
        <v>5.0053000000000001</v>
      </c>
      <c r="H105" s="186">
        <v>30956</v>
      </c>
      <c r="I105" s="186">
        <v>13424</v>
      </c>
      <c r="J105" s="187">
        <v>4.6839000000000004</v>
      </c>
    </row>
    <row r="106" spans="1:10" x14ac:dyDescent="0.3">
      <c r="A106" s="188" t="s">
        <v>211</v>
      </c>
      <c r="B106" s="186">
        <v>17835</v>
      </c>
      <c r="C106" s="186">
        <v>18082</v>
      </c>
      <c r="D106" s="187">
        <v>3.7946</v>
      </c>
      <c r="E106" s="186">
        <v>36208</v>
      </c>
      <c r="F106" s="186">
        <v>13438</v>
      </c>
      <c r="G106" s="187">
        <v>4.6108000000000002</v>
      </c>
      <c r="H106" s="186">
        <v>26801</v>
      </c>
      <c r="I106" s="186">
        <v>15020</v>
      </c>
      <c r="J106" s="187">
        <v>4.3327</v>
      </c>
    </row>
    <row r="107" spans="1:10" x14ac:dyDescent="0.3">
      <c r="A107" s="188" t="s">
        <v>212</v>
      </c>
      <c r="B107" s="186">
        <v>14610</v>
      </c>
      <c r="C107" s="186">
        <v>19633</v>
      </c>
      <c r="D107" s="187">
        <v>3.5217999999999998</v>
      </c>
      <c r="E107" s="186">
        <v>31342</v>
      </c>
      <c r="F107" s="186">
        <v>14940</v>
      </c>
      <c r="G107" s="187">
        <v>4.2488999999999999</v>
      </c>
      <c r="H107" s="186">
        <v>22775</v>
      </c>
      <c r="I107" s="186">
        <v>16481</v>
      </c>
      <c r="J107" s="187">
        <v>4.0101000000000004</v>
      </c>
    </row>
    <row r="108" spans="1:10" x14ac:dyDescent="0.3">
      <c r="A108" s="188" t="s">
        <v>213</v>
      </c>
      <c r="B108" s="186">
        <v>11742</v>
      </c>
      <c r="C108" s="186">
        <v>21292</v>
      </c>
      <c r="D108" s="187">
        <v>3.26</v>
      </c>
      <c r="E108" s="186">
        <v>26659</v>
      </c>
      <c r="F108" s="186">
        <v>16686</v>
      </c>
      <c r="G108" s="187">
        <v>3.9074</v>
      </c>
      <c r="H108" s="186">
        <v>19022</v>
      </c>
      <c r="I108" s="186">
        <v>18142</v>
      </c>
      <c r="J108" s="187">
        <v>3.7027999999999999</v>
      </c>
    </row>
    <row r="109" spans="1:10" x14ac:dyDescent="0.3">
      <c r="A109" s="188" t="s">
        <v>214</v>
      </c>
      <c r="B109" s="186">
        <v>9242</v>
      </c>
      <c r="C109" s="186">
        <v>23865</v>
      </c>
      <c r="D109" s="187">
        <v>3.0066999999999999</v>
      </c>
      <c r="E109" s="186">
        <v>22211</v>
      </c>
      <c r="F109" s="186">
        <v>18771</v>
      </c>
      <c r="G109" s="187">
        <v>3.5897999999999999</v>
      </c>
      <c r="H109" s="186">
        <v>15571</v>
      </c>
      <c r="I109" s="186">
        <v>20319</v>
      </c>
      <c r="J109" s="187">
        <v>3.4125999999999999</v>
      </c>
    </row>
    <row r="110" spans="1:10" x14ac:dyDescent="0.3">
      <c r="A110" s="188" t="s">
        <v>215</v>
      </c>
      <c r="B110" s="186">
        <v>7036</v>
      </c>
      <c r="C110" s="186">
        <v>26289</v>
      </c>
      <c r="D110" s="187">
        <v>2.7924000000000002</v>
      </c>
      <c r="E110" s="186">
        <v>18042</v>
      </c>
      <c r="F110" s="186">
        <v>20784</v>
      </c>
      <c r="G110" s="187">
        <v>3.3037999999999998</v>
      </c>
      <c r="H110" s="186">
        <v>12407</v>
      </c>
      <c r="I110" s="186">
        <v>22383</v>
      </c>
      <c r="J110" s="187">
        <v>3.1553</v>
      </c>
    </row>
    <row r="111" spans="1:10" x14ac:dyDescent="0.3">
      <c r="A111" s="188" t="s">
        <v>216</v>
      </c>
      <c r="B111" s="186">
        <v>5186</v>
      </c>
      <c r="C111" s="186">
        <v>28502</v>
      </c>
      <c r="D111" s="187">
        <v>2.6101000000000001</v>
      </c>
      <c r="E111" s="186">
        <v>14292</v>
      </c>
      <c r="F111" s="186">
        <v>23301</v>
      </c>
      <c r="G111" s="187">
        <v>3.0394000000000001</v>
      </c>
      <c r="H111" s="186">
        <v>9630</v>
      </c>
      <c r="I111" s="186">
        <v>24735</v>
      </c>
      <c r="J111" s="187">
        <v>2.9209999999999998</v>
      </c>
    </row>
    <row r="112" spans="1:10" x14ac:dyDescent="0.3">
      <c r="A112" s="188" t="s">
        <v>217</v>
      </c>
      <c r="B112" s="186">
        <v>3708</v>
      </c>
      <c r="C112" s="186">
        <v>31054</v>
      </c>
      <c r="D112" s="187">
        <v>2.4512</v>
      </c>
      <c r="E112" s="186">
        <v>10962</v>
      </c>
      <c r="F112" s="186">
        <v>25776</v>
      </c>
      <c r="G112" s="187">
        <v>2.8109000000000002</v>
      </c>
      <c r="H112" s="186">
        <v>7248</v>
      </c>
      <c r="I112" s="186">
        <v>27158</v>
      </c>
      <c r="J112" s="187">
        <v>2.7166999999999999</v>
      </c>
    </row>
    <row r="113" spans="1:10" x14ac:dyDescent="0.3">
      <c r="A113" s="188" t="s">
        <v>218</v>
      </c>
      <c r="B113" s="186">
        <v>2557</v>
      </c>
      <c r="C113" s="186">
        <v>33277</v>
      </c>
      <c r="D113" s="187">
        <v>2.33</v>
      </c>
      <c r="E113" s="186">
        <v>8136</v>
      </c>
      <c r="F113" s="186">
        <v>27619</v>
      </c>
      <c r="G113" s="187">
        <v>2.6133999999999999</v>
      </c>
      <c r="H113" s="186">
        <v>5280</v>
      </c>
      <c r="I113" s="186">
        <v>29022</v>
      </c>
      <c r="J113" s="187">
        <v>2.5430999999999999</v>
      </c>
    </row>
    <row r="114" spans="1:10" x14ac:dyDescent="0.3">
      <c r="A114" s="188" t="s">
        <v>219</v>
      </c>
      <c r="B114" s="186">
        <v>1706</v>
      </c>
      <c r="C114" s="186">
        <v>35653</v>
      </c>
      <c r="D114" s="187">
        <v>2.2427000000000001</v>
      </c>
      <c r="E114" s="186">
        <v>5889</v>
      </c>
      <c r="F114" s="186">
        <v>29977</v>
      </c>
      <c r="G114" s="187">
        <v>2.4198</v>
      </c>
      <c r="H114" s="186">
        <v>3747</v>
      </c>
      <c r="I114" s="186">
        <v>31300</v>
      </c>
      <c r="J114" s="187">
        <v>2.3784999999999998</v>
      </c>
    </row>
    <row r="115" spans="1:10" x14ac:dyDescent="0.3">
      <c r="A115" s="206"/>
      <c r="B115" s="207"/>
      <c r="C115" s="207"/>
      <c r="D115" s="208"/>
      <c r="E115" s="207"/>
      <c r="F115" s="207"/>
      <c r="G115" s="208"/>
      <c r="H115" s="207"/>
      <c r="I115" s="207"/>
      <c r="J115" s="208"/>
    </row>
    <row r="117" spans="1:10" x14ac:dyDescent="0.3">
      <c r="A117" s="209" t="s">
        <v>220</v>
      </c>
    </row>
    <row r="118" spans="1:10" x14ac:dyDescent="0.3">
      <c r="A118" s="209" t="s">
        <v>221</v>
      </c>
    </row>
    <row r="120" spans="1:10" x14ac:dyDescent="0.3">
      <c r="A120" s="144" t="s">
        <v>222</v>
      </c>
    </row>
  </sheetData>
  <mergeCells count="4">
    <mergeCell ref="B5:J5"/>
    <mergeCell ref="B9:D9"/>
    <mergeCell ref="E9:G9"/>
    <mergeCell ref="H9:J9"/>
  </mergeCells>
  <pageMargins left="0.7" right="0.7" top="0.75" bottom="0.75" header="0.3" footer="0.3"/>
  <pageSetup paperSize="9" orientation="portrait" r:id="rId1"/>
  <ignoredErrors>
    <ignoredError sqref="A15:A11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8"/>
  <sheetViews>
    <sheetView topLeftCell="A25" workbookViewId="0">
      <selection activeCell="V8" sqref="V8"/>
    </sheetView>
  </sheetViews>
  <sheetFormatPr baseColWidth="10" defaultColWidth="9.1796875" defaultRowHeight="14.5" x14ac:dyDescent="0.35"/>
  <cols>
    <col min="1" max="1" width="10.7265625" style="43" customWidth="1"/>
    <col min="2" max="2" width="8.1796875" style="44" bestFit="1" customWidth="1"/>
    <col min="3" max="3" width="8.81640625" style="44" bestFit="1" customWidth="1"/>
    <col min="4" max="4" width="6.1796875" style="44" bestFit="1" customWidth="1"/>
    <col min="5" max="5" width="8.1796875" style="44" bestFit="1" customWidth="1"/>
    <col min="6" max="6" width="8.81640625" style="44" bestFit="1" customWidth="1"/>
    <col min="7" max="7" width="6.1796875" style="44" bestFit="1" customWidth="1"/>
    <col min="8" max="8" width="8.1796875" style="44" bestFit="1" customWidth="1"/>
    <col min="9" max="9" width="8.81640625" style="44" bestFit="1" customWidth="1"/>
    <col min="10" max="10" width="6.1796875" style="44" bestFit="1" customWidth="1"/>
  </cols>
  <sheetData>
    <row r="1" spans="1:20" x14ac:dyDescent="0.35">
      <c r="A1" s="43" t="s">
        <v>108</v>
      </c>
    </row>
    <row r="2" spans="1:20" x14ac:dyDescent="0.35">
      <c r="A2" s="43" t="s">
        <v>109</v>
      </c>
      <c r="G2" s="45"/>
    </row>
    <row r="4" spans="1:20" x14ac:dyDescent="0.35">
      <c r="A4" s="43" t="s">
        <v>110</v>
      </c>
    </row>
    <row r="5" spans="1:20" ht="15" x14ac:dyDescent="0.4">
      <c r="B5" s="139" t="s">
        <v>111</v>
      </c>
      <c r="C5" s="140"/>
      <c r="D5" s="140"/>
      <c r="E5" s="140"/>
      <c r="F5" s="140"/>
      <c r="G5" s="140"/>
      <c r="H5" s="140"/>
      <c r="I5" s="140"/>
      <c r="J5" s="140"/>
      <c r="L5" s="127" t="s">
        <v>310</v>
      </c>
      <c r="N5" s="128" t="s">
        <v>311</v>
      </c>
      <c r="Q5" s="98" t="s">
        <v>312</v>
      </c>
      <c r="R5" s="99"/>
      <c r="S5" s="69" t="s">
        <v>309</v>
      </c>
    </row>
    <row r="6" spans="1:20" x14ac:dyDescent="0.35">
      <c r="A6" s="43" t="s">
        <v>112</v>
      </c>
      <c r="L6" s="17">
        <f>1-H30/H15</f>
        <v>4.9700000000000299E-3</v>
      </c>
      <c r="M6" s="2"/>
      <c r="N6" s="2">
        <f>L6*1000</f>
        <v>4.9700000000000299</v>
      </c>
      <c r="Q6" s="17">
        <f>1-E65/E45</f>
        <v>1.8506758595663642E-2</v>
      </c>
      <c r="R6" s="2"/>
      <c r="S6" s="18">
        <f>1000*Q6</f>
        <v>18.506758595663641</v>
      </c>
    </row>
    <row r="8" spans="1:20" ht="15" x14ac:dyDescent="0.4">
      <c r="A8" s="46"/>
      <c r="B8" s="47"/>
      <c r="C8" s="48"/>
      <c r="D8" s="49"/>
      <c r="E8" s="47"/>
      <c r="F8" s="48"/>
      <c r="G8" s="49"/>
      <c r="H8" s="47"/>
      <c r="I8" s="48"/>
      <c r="J8" s="49"/>
      <c r="K8" s="13" t="s">
        <v>313</v>
      </c>
      <c r="L8" s="70">
        <f>LOG10(N6)</f>
        <v>0.69635638873333472</v>
      </c>
      <c r="P8" s="13" t="s">
        <v>314</v>
      </c>
      <c r="Q8" s="70">
        <f>LOG10(S6)</f>
        <v>1.2673303600122741</v>
      </c>
    </row>
    <row r="9" spans="1:20" x14ac:dyDescent="0.35">
      <c r="A9" s="50"/>
      <c r="B9" s="141" t="s">
        <v>113</v>
      </c>
      <c r="C9" s="142"/>
      <c r="D9" s="143"/>
      <c r="E9" s="141" t="s">
        <v>114</v>
      </c>
      <c r="F9" s="142"/>
      <c r="G9" s="143"/>
      <c r="H9" s="141" t="s">
        <v>115</v>
      </c>
      <c r="I9" s="142"/>
      <c r="J9" s="143"/>
    </row>
    <row r="10" spans="1:20" x14ac:dyDescent="0.35">
      <c r="A10" s="51" t="s">
        <v>116</v>
      </c>
      <c r="B10" s="52"/>
      <c r="C10" s="53"/>
      <c r="D10" s="54"/>
      <c r="E10" s="52"/>
      <c r="F10" s="53"/>
      <c r="G10" s="54"/>
      <c r="H10" s="52"/>
      <c r="I10" s="53"/>
      <c r="J10" s="54"/>
    </row>
    <row r="11" spans="1:20" x14ac:dyDescent="0.35">
      <c r="A11" s="51" t="s">
        <v>45</v>
      </c>
      <c r="B11" s="55"/>
      <c r="C11" s="56"/>
      <c r="D11" s="55"/>
      <c r="E11" s="57"/>
      <c r="F11" s="55"/>
      <c r="G11" s="58"/>
      <c r="H11" s="57"/>
      <c r="I11" s="55"/>
      <c r="J11" s="58"/>
    </row>
    <row r="12" spans="1:20" x14ac:dyDescent="0.35">
      <c r="A12" s="50"/>
      <c r="B12" s="59" t="s">
        <v>117</v>
      </c>
      <c r="C12" s="78" t="s">
        <v>118</v>
      </c>
      <c r="D12" s="59" t="s">
        <v>119</v>
      </c>
      <c r="E12" s="77" t="s">
        <v>117</v>
      </c>
      <c r="F12" s="59" t="s">
        <v>118</v>
      </c>
      <c r="G12" s="79" t="s">
        <v>119</v>
      </c>
      <c r="H12" s="77" t="s">
        <v>117</v>
      </c>
      <c r="I12" s="59" t="s">
        <v>118</v>
      </c>
      <c r="J12" s="79" t="s">
        <v>119</v>
      </c>
      <c r="L12" s="71"/>
      <c r="M12" s="93" t="s">
        <v>245</v>
      </c>
      <c r="N12" s="94"/>
      <c r="O12" s="94"/>
      <c r="P12" s="95" t="s">
        <v>237</v>
      </c>
      <c r="Q12" s="95" t="s">
        <v>225</v>
      </c>
      <c r="R12" s="71"/>
      <c r="S12" s="71"/>
      <c r="T12" s="71"/>
    </row>
    <row r="13" spans="1:20" x14ac:dyDescent="0.35">
      <c r="A13" s="60"/>
      <c r="B13" s="61"/>
      <c r="C13" s="53"/>
      <c r="D13" s="61"/>
      <c r="E13" s="52"/>
      <c r="F13" s="61"/>
      <c r="G13" s="54"/>
      <c r="H13" s="52"/>
      <c r="I13" s="61"/>
      <c r="J13" s="54"/>
      <c r="L13" s="84"/>
      <c r="M13" s="84"/>
      <c r="N13" s="90" t="s">
        <v>238</v>
      </c>
      <c r="O13" s="90"/>
      <c r="P13" s="90"/>
      <c r="Q13" s="90"/>
      <c r="R13" s="90" t="s">
        <v>239</v>
      </c>
      <c r="S13" s="90"/>
      <c r="T13" s="84"/>
    </row>
    <row r="14" spans="1:20" x14ac:dyDescent="0.35">
      <c r="B14" s="62"/>
      <c r="C14" s="62"/>
      <c r="D14" s="63"/>
      <c r="E14" s="62"/>
      <c r="F14" s="62"/>
      <c r="G14" s="63"/>
      <c r="H14" s="62"/>
      <c r="I14" s="62"/>
      <c r="J14" s="63"/>
      <c r="L14" s="96" t="s">
        <v>292</v>
      </c>
      <c r="M14" s="96" t="s">
        <v>240</v>
      </c>
      <c r="N14" s="96" t="s">
        <v>241</v>
      </c>
      <c r="O14" s="96" t="s">
        <v>242</v>
      </c>
      <c r="P14" s="96" t="s">
        <v>243</v>
      </c>
      <c r="Q14" s="96" t="s">
        <v>240</v>
      </c>
      <c r="R14" s="96" t="s">
        <v>241</v>
      </c>
      <c r="S14" s="96" t="s">
        <v>242</v>
      </c>
      <c r="T14" s="96" t="s">
        <v>243</v>
      </c>
    </row>
    <row r="15" spans="1:20" x14ac:dyDescent="0.35">
      <c r="A15" s="64" t="s">
        <v>120</v>
      </c>
      <c r="B15" s="62">
        <v>100000</v>
      </c>
      <c r="C15" s="62">
        <v>372</v>
      </c>
      <c r="D15" s="63">
        <v>78.331299999999999</v>
      </c>
      <c r="E15" s="62">
        <v>100000</v>
      </c>
      <c r="F15" s="62">
        <v>311</v>
      </c>
      <c r="G15" s="63">
        <v>84.846800000000002</v>
      </c>
      <c r="H15" s="62">
        <v>100000</v>
      </c>
      <c r="I15" s="62">
        <v>342</v>
      </c>
      <c r="J15" s="63">
        <v>81.510800000000003</v>
      </c>
      <c r="L15" s="84">
        <v>0</v>
      </c>
      <c r="M15" s="97">
        <v>0.30603000000000002</v>
      </c>
      <c r="N15" s="97">
        <v>0.95701999999999998</v>
      </c>
      <c r="O15" s="97">
        <v>-0.19020000000000001</v>
      </c>
      <c r="P15" s="97">
        <v>5.3560000000000003E-2</v>
      </c>
      <c r="Q15" s="97">
        <v>0.10203</v>
      </c>
      <c r="R15" s="97">
        <v>1.0529599999999999</v>
      </c>
      <c r="S15" s="97">
        <v>-0.23089000000000001</v>
      </c>
      <c r="T15" s="97">
        <v>4.9009999999999998E-2</v>
      </c>
    </row>
    <row r="16" spans="1:20" x14ac:dyDescent="0.35">
      <c r="A16" s="64" t="s">
        <v>121</v>
      </c>
      <c r="B16" s="62">
        <v>99628</v>
      </c>
      <c r="C16" s="62">
        <v>30</v>
      </c>
      <c r="D16" s="63">
        <v>77.621700000000004</v>
      </c>
      <c r="E16" s="62">
        <v>99689</v>
      </c>
      <c r="F16" s="62">
        <v>26</v>
      </c>
      <c r="G16" s="63">
        <v>84.110200000000006</v>
      </c>
      <c r="H16" s="62">
        <v>99658</v>
      </c>
      <c r="I16" s="62">
        <v>28</v>
      </c>
      <c r="J16" s="63">
        <v>80.789000000000001</v>
      </c>
      <c r="L16" s="84">
        <v>1</v>
      </c>
      <c r="M16" s="97">
        <v>-1.6548700000000001</v>
      </c>
      <c r="N16" s="97">
        <v>1.2901199999999999</v>
      </c>
      <c r="O16" s="97">
        <v>0.22450000000000001</v>
      </c>
      <c r="P16" s="97">
        <v>8.9399999999999993E-2</v>
      </c>
      <c r="Q16" s="97">
        <v>-1.8928199999999999</v>
      </c>
      <c r="R16" s="97">
        <v>1.3523799999999999</v>
      </c>
      <c r="S16" s="97">
        <v>0.25978000000000001</v>
      </c>
      <c r="T16" s="97">
        <v>9.8339999999999997E-2</v>
      </c>
    </row>
    <row r="17" spans="1:20" x14ac:dyDescent="0.35">
      <c r="A17" s="64" t="s">
        <v>122</v>
      </c>
      <c r="B17" s="62">
        <v>99599</v>
      </c>
      <c r="C17" s="62">
        <v>19</v>
      </c>
      <c r="D17" s="63">
        <v>76.644599999999997</v>
      </c>
      <c r="E17" s="62">
        <v>99663</v>
      </c>
      <c r="F17" s="62">
        <v>15</v>
      </c>
      <c r="G17" s="63">
        <v>83.132000000000005</v>
      </c>
      <c r="H17" s="62">
        <v>99630</v>
      </c>
      <c r="I17" s="62">
        <v>17</v>
      </c>
      <c r="J17" s="63">
        <v>79.811499999999995</v>
      </c>
      <c r="L17" s="84">
        <v>5</v>
      </c>
      <c r="M17" s="97">
        <v>-1.57653</v>
      </c>
      <c r="N17" s="97">
        <v>0.66988999999999999</v>
      </c>
      <c r="O17" s="97">
        <v>0.61807000000000001</v>
      </c>
      <c r="P17" s="97">
        <v>0.12285</v>
      </c>
      <c r="Q17" s="97">
        <v>-2.10866</v>
      </c>
      <c r="R17" s="97">
        <v>0.72182000000000002</v>
      </c>
      <c r="S17" s="97">
        <v>0.79513</v>
      </c>
      <c r="T17" s="97">
        <v>0.10006</v>
      </c>
    </row>
    <row r="18" spans="1:20" x14ac:dyDescent="0.35">
      <c r="A18" s="64" t="s">
        <v>123</v>
      </c>
      <c r="B18" s="62">
        <v>99580</v>
      </c>
      <c r="C18" s="62">
        <v>14</v>
      </c>
      <c r="D18" s="63">
        <v>75.658900000000003</v>
      </c>
      <c r="E18" s="62">
        <v>99648</v>
      </c>
      <c r="F18" s="62">
        <v>12</v>
      </c>
      <c r="G18" s="63">
        <v>82.144000000000005</v>
      </c>
      <c r="H18" s="62">
        <v>99613</v>
      </c>
      <c r="I18" s="62">
        <v>13</v>
      </c>
      <c r="J18" s="63">
        <v>78.824799999999996</v>
      </c>
      <c r="L18" s="84">
        <f t="shared" ref="L18:L32" si="0">L17+5</f>
        <v>10</v>
      </c>
      <c r="M18" s="97">
        <v>-1.3588</v>
      </c>
      <c r="N18" s="97">
        <v>0.39445999999999998</v>
      </c>
      <c r="O18" s="97">
        <v>0.72114</v>
      </c>
      <c r="P18" s="97">
        <v>8.5860000000000006E-2</v>
      </c>
      <c r="Q18" s="97">
        <v>-2.0833400000000002</v>
      </c>
      <c r="R18" s="97">
        <v>0.36719000000000002</v>
      </c>
      <c r="S18" s="97">
        <v>1.0915900000000001</v>
      </c>
      <c r="T18" s="97">
        <v>9.9919999999999995E-2</v>
      </c>
    </row>
    <row r="19" spans="1:20" x14ac:dyDescent="0.35">
      <c r="A19" s="64" t="s">
        <v>124</v>
      </c>
      <c r="B19" s="62">
        <v>99566</v>
      </c>
      <c r="C19" s="62">
        <v>11</v>
      </c>
      <c r="D19" s="63">
        <v>74.6691</v>
      </c>
      <c r="E19" s="62">
        <v>99637</v>
      </c>
      <c r="F19" s="62">
        <v>8</v>
      </c>
      <c r="G19" s="63">
        <v>81.153499999999994</v>
      </c>
      <c r="H19" s="62">
        <v>99601</v>
      </c>
      <c r="I19" s="62">
        <v>9</v>
      </c>
      <c r="J19" s="63">
        <v>77.834599999999995</v>
      </c>
      <c r="L19" s="84">
        <f t="shared" si="0"/>
        <v>15</v>
      </c>
      <c r="M19" s="97">
        <v>-0.98182999999999998</v>
      </c>
      <c r="N19" s="97">
        <v>0.156</v>
      </c>
      <c r="O19" s="97">
        <v>0.89534999999999998</v>
      </c>
      <c r="P19" s="97">
        <v>9.3270000000000006E-2</v>
      </c>
      <c r="Q19" s="97">
        <v>-1.7721499999999999</v>
      </c>
      <c r="R19" s="97">
        <v>0.13678000000000001</v>
      </c>
      <c r="S19" s="97">
        <v>1.2772600000000001</v>
      </c>
      <c r="T19" s="97">
        <v>9.4950000000000007E-2</v>
      </c>
    </row>
    <row r="20" spans="1:20" x14ac:dyDescent="0.35">
      <c r="A20" s="64" t="s">
        <v>125</v>
      </c>
      <c r="B20" s="62">
        <v>99556</v>
      </c>
      <c r="C20" s="62">
        <v>11</v>
      </c>
      <c r="D20" s="63">
        <v>73.677000000000007</v>
      </c>
      <c r="E20" s="62">
        <v>99629</v>
      </c>
      <c r="F20" s="62">
        <v>7</v>
      </c>
      <c r="G20" s="63">
        <v>80.16</v>
      </c>
      <c r="H20" s="62">
        <v>99591</v>
      </c>
      <c r="I20" s="62">
        <v>9</v>
      </c>
      <c r="J20" s="63">
        <v>76.841899999999995</v>
      </c>
      <c r="L20" s="84">
        <f t="shared" si="0"/>
        <v>20</v>
      </c>
      <c r="M20" s="97">
        <v>-0.90656000000000003</v>
      </c>
      <c r="N20" s="97">
        <v>0.13058</v>
      </c>
      <c r="O20" s="97">
        <v>0.95989999999999998</v>
      </c>
      <c r="P20" s="97">
        <v>0.10525</v>
      </c>
      <c r="Q20" s="97">
        <v>-1.6059600000000001</v>
      </c>
      <c r="R20" s="97">
        <v>4.8570000000000002E-2</v>
      </c>
      <c r="S20" s="97">
        <v>1.35025</v>
      </c>
      <c r="T20" s="97">
        <v>8.6599999999999996E-2</v>
      </c>
    </row>
    <row r="21" spans="1:20" x14ac:dyDescent="0.35">
      <c r="A21" s="64" t="s">
        <v>126</v>
      </c>
      <c r="B21" s="62">
        <v>99545</v>
      </c>
      <c r="C21" s="62">
        <v>10</v>
      </c>
      <c r="D21" s="63">
        <v>72.685100000000006</v>
      </c>
      <c r="E21" s="62">
        <v>99621</v>
      </c>
      <c r="F21" s="62">
        <v>8</v>
      </c>
      <c r="G21" s="63">
        <v>79.165800000000004</v>
      </c>
      <c r="H21" s="62">
        <v>99582</v>
      </c>
      <c r="I21" s="62">
        <v>9</v>
      </c>
      <c r="J21" s="63">
        <v>75.8489</v>
      </c>
      <c r="L21" s="84">
        <f t="shared" si="0"/>
        <v>25</v>
      </c>
      <c r="M21" s="97">
        <v>-0.96541999999999994</v>
      </c>
      <c r="N21" s="97">
        <v>6.8870000000000001E-2</v>
      </c>
      <c r="O21" s="97">
        <v>1.05993</v>
      </c>
      <c r="P21" s="97">
        <v>8.8489999999999999E-2</v>
      </c>
      <c r="Q21" s="97">
        <v>-1.4679199999999999</v>
      </c>
      <c r="R21" s="97">
        <v>1.831E-2</v>
      </c>
      <c r="S21" s="97">
        <v>1.33812</v>
      </c>
      <c r="T21" s="97">
        <v>6.1510000000000002E-2</v>
      </c>
    </row>
    <row r="22" spans="1:20" x14ac:dyDescent="0.35">
      <c r="A22" s="64" t="s">
        <v>127</v>
      </c>
      <c r="B22" s="62">
        <v>99535</v>
      </c>
      <c r="C22" s="62">
        <v>8</v>
      </c>
      <c r="D22" s="63">
        <v>71.692499999999995</v>
      </c>
      <c r="E22" s="62">
        <v>99613</v>
      </c>
      <c r="F22" s="62">
        <v>7</v>
      </c>
      <c r="G22" s="63">
        <v>78.172399999999996</v>
      </c>
      <c r="H22" s="62">
        <v>99573</v>
      </c>
      <c r="I22" s="62">
        <v>8</v>
      </c>
      <c r="J22" s="63">
        <v>74.855900000000005</v>
      </c>
      <c r="L22" s="84">
        <f t="shared" si="0"/>
        <v>30</v>
      </c>
      <c r="M22" s="97">
        <v>-0.86001000000000005</v>
      </c>
      <c r="N22" s="97">
        <v>9.0560000000000002E-2</v>
      </c>
      <c r="O22" s="97">
        <v>1.004</v>
      </c>
      <c r="P22" s="97">
        <v>7.5639999999999999E-2</v>
      </c>
      <c r="Q22" s="97">
        <v>-1.3130200000000001</v>
      </c>
      <c r="R22" s="97">
        <v>2.5080000000000002E-2</v>
      </c>
      <c r="S22" s="97">
        <v>1.27532</v>
      </c>
      <c r="T22" s="97">
        <v>3.705E-2</v>
      </c>
    </row>
    <row r="23" spans="1:20" x14ac:dyDescent="0.35">
      <c r="A23" s="64" t="s">
        <v>128</v>
      </c>
      <c r="B23" s="62">
        <v>99526</v>
      </c>
      <c r="C23" s="62">
        <v>8</v>
      </c>
      <c r="D23" s="63">
        <v>70.698400000000007</v>
      </c>
      <c r="E23" s="62">
        <v>99606</v>
      </c>
      <c r="F23" s="62">
        <v>7</v>
      </c>
      <c r="G23" s="63">
        <v>77.177800000000005</v>
      </c>
      <c r="H23" s="62">
        <v>99565</v>
      </c>
      <c r="I23" s="62">
        <v>8</v>
      </c>
      <c r="J23" s="63">
        <v>73.861699999999999</v>
      </c>
      <c r="L23" s="84">
        <f t="shared" si="0"/>
        <v>35</v>
      </c>
      <c r="M23" s="97">
        <v>-0.70101999999999998</v>
      </c>
      <c r="N23" s="97">
        <v>5.1249999999999997E-2</v>
      </c>
      <c r="O23" s="97">
        <v>1.00264</v>
      </c>
      <c r="P23" s="97">
        <v>6.3769999999999993E-2</v>
      </c>
      <c r="Q23" s="97">
        <v>-0.98301000000000005</v>
      </c>
      <c r="R23" s="97">
        <v>5.919E-2</v>
      </c>
      <c r="S23" s="97">
        <v>1.1078399999999999</v>
      </c>
      <c r="T23" s="97">
        <v>1.9890000000000001E-2</v>
      </c>
    </row>
    <row r="24" spans="1:20" x14ac:dyDescent="0.35">
      <c r="A24" s="64" t="s">
        <v>129</v>
      </c>
      <c r="B24" s="62">
        <v>99518</v>
      </c>
      <c r="C24" s="62">
        <v>8</v>
      </c>
      <c r="D24" s="63">
        <v>69.704300000000003</v>
      </c>
      <c r="E24" s="62">
        <v>99599</v>
      </c>
      <c r="F24" s="62">
        <v>7</v>
      </c>
      <c r="G24" s="63">
        <v>76.183300000000003</v>
      </c>
      <c r="H24" s="62">
        <v>99557</v>
      </c>
      <c r="I24" s="62">
        <v>7</v>
      </c>
      <c r="J24" s="63">
        <v>72.867400000000004</v>
      </c>
      <c r="L24" s="84">
        <f t="shared" si="0"/>
        <v>40</v>
      </c>
      <c r="M24" s="97">
        <v>-0.29548999999999997</v>
      </c>
      <c r="N24" s="97">
        <v>8.8029999999999997E-2</v>
      </c>
      <c r="O24" s="97">
        <v>0.82001000000000002</v>
      </c>
      <c r="P24" s="97">
        <v>6.8449999999999997E-2</v>
      </c>
      <c r="Q24" s="97">
        <v>-0.65493000000000001</v>
      </c>
      <c r="R24" s="97">
        <v>-8.9499999999999996E-3</v>
      </c>
      <c r="S24" s="97">
        <v>1.05263</v>
      </c>
      <c r="T24" s="97">
        <v>1.17E-2</v>
      </c>
    </row>
    <row r="25" spans="1:20" x14ac:dyDescent="0.35">
      <c r="A25" s="64" t="s">
        <v>130</v>
      </c>
      <c r="B25" s="62">
        <v>99510</v>
      </c>
      <c r="C25" s="62">
        <v>8</v>
      </c>
      <c r="D25" s="63">
        <v>68.709800000000001</v>
      </c>
      <c r="E25" s="62">
        <v>99592</v>
      </c>
      <c r="F25" s="62">
        <v>6</v>
      </c>
      <c r="G25" s="63">
        <v>75.188299999999998</v>
      </c>
      <c r="H25" s="62">
        <v>99550</v>
      </c>
      <c r="I25" s="62">
        <v>7</v>
      </c>
      <c r="J25" s="63">
        <v>71.872600000000006</v>
      </c>
      <c r="L25" s="84">
        <f t="shared" si="0"/>
        <v>45</v>
      </c>
      <c r="M25" s="97">
        <v>0.18151</v>
      </c>
      <c r="N25" s="97">
        <v>7.4029999999999999E-2</v>
      </c>
      <c r="O25" s="97">
        <v>0.66488000000000003</v>
      </c>
      <c r="P25" s="97">
        <v>6.9309999999999997E-2</v>
      </c>
      <c r="Q25" s="97">
        <v>-0.16206000000000001</v>
      </c>
      <c r="R25" s="97">
        <v>-5.3060000000000003E-2</v>
      </c>
      <c r="S25" s="97">
        <v>0.90539000000000003</v>
      </c>
      <c r="T25" s="97">
        <v>3.075E-2</v>
      </c>
    </row>
    <row r="26" spans="1:20" x14ac:dyDescent="0.35">
      <c r="A26" s="64" t="s">
        <v>131</v>
      </c>
      <c r="B26" s="62">
        <v>99502</v>
      </c>
      <c r="C26" s="62">
        <v>8</v>
      </c>
      <c r="D26" s="63">
        <v>67.715400000000002</v>
      </c>
      <c r="E26" s="62">
        <v>99586</v>
      </c>
      <c r="F26" s="62">
        <v>7</v>
      </c>
      <c r="G26" s="63">
        <v>74.192999999999998</v>
      </c>
      <c r="H26" s="62">
        <v>99543</v>
      </c>
      <c r="I26" s="62">
        <v>8</v>
      </c>
      <c r="J26" s="63">
        <v>70.877799999999993</v>
      </c>
      <c r="L26" s="84">
        <f t="shared" si="0"/>
        <v>50</v>
      </c>
      <c r="M26" s="97">
        <v>0.58835999999999999</v>
      </c>
      <c r="N26" s="97">
        <v>4.8090000000000001E-2</v>
      </c>
      <c r="O26" s="97">
        <v>0.56188000000000005</v>
      </c>
      <c r="P26" s="97">
        <v>7.0330000000000004E-2</v>
      </c>
      <c r="Q26" s="97">
        <v>0.21643000000000001</v>
      </c>
      <c r="R26" s="97">
        <v>-6.2560000000000004E-2</v>
      </c>
      <c r="S26" s="97">
        <v>0.79466000000000003</v>
      </c>
      <c r="T26" s="97">
        <v>4.0779999999999997E-2</v>
      </c>
    </row>
    <row r="27" spans="1:20" x14ac:dyDescent="0.35">
      <c r="A27" s="64" t="s">
        <v>132</v>
      </c>
      <c r="B27" s="62">
        <v>99493</v>
      </c>
      <c r="C27" s="62">
        <v>11</v>
      </c>
      <c r="D27" s="63">
        <v>66.721100000000007</v>
      </c>
      <c r="E27" s="62">
        <v>99579</v>
      </c>
      <c r="F27" s="62">
        <v>8</v>
      </c>
      <c r="G27" s="63">
        <v>73.1982</v>
      </c>
      <c r="H27" s="62">
        <v>99535</v>
      </c>
      <c r="I27" s="62">
        <v>9</v>
      </c>
      <c r="J27" s="63">
        <v>69.883300000000006</v>
      </c>
      <c r="L27" s="84">
        <f t="shared" si="0"/>
        <v>55</v>
      </c>
      <c r="M27" s="97">
        <v>0.93095000000000006</v>
      </c>
      <c r="N27" s="97">
        <v>1.124E-2</v>
      </c>
      <c r="O27" s="97">
        <v>0.50414000000000003</v>
      </c>
      <c r="P27" s="97">
        <v>7.3270000000000002E-2</v>
      </c>
      <c r="Q27" s="97">
        <v>0.54471000000000003</v>
      </c>
      <c r="R27" s="97">
        <v>-2.8510000000000001E-2</v>
      </c>
      <c r="S27" s="97">
        <v>0.67162999999999995</v>
      </c>
      <c r="T27" s="97">
        <v>5.1650000000000001E-2</v>
      </c>
    </row>
    <row r="28" spans="1:20" x14ac:dyDescent="0.35">
      <c r="A28" s="64" t="s">
        <v>133</v>
      </c>
      <c r="B28" s="62">
        <v>99483</v>
      </c>
      <c r="C28" s="62">
        <v>9</v>
      </c>
      <c r="D28" s="63">
        <v>65.728099999999998</v>
      </c>
      <c r="E28" s="62">
        <v>99571</v>
      </c>
      <c r="F28" s="62">
        <v>9</v>
      </c>
      <c r="G28" s="63">
        <v>72.203900000000004</v>
      </c>
      <c r="H28" s="62">
        <v>99526</v>
      </c>
      <c r="I28" s="62">
        <v>9</v>
      </c>
      <c r="J28" s="63">
        <v>68.889700000000005</v>
      </c>
      <c r="L28" s="84">
        <f t="shared" si="0"/>
        <v>60</v>
      </c>
      <c r="M28" s="97">
        <v>1.2946500000000001</v>
      </c>
      <c r="N28" s="97">
        <v>1.8259999999999998E-2</v>
      </c>
      <c r="O28" s="97">
        <v>0.39706999999999998</v>
      </c>
      <c r="P28" s="97">
        <v>6.6860000000000003E-2</v>
      </c>
      <c r="Q28" s="97">
        <v>0.94088000000000005</v>
      </c>
      <c r="R28" s="97">
        <v>3.5439999999999999E-2</v>
      </c>
      <c r="S28" s="97">
        <v>0.49775999999999998</v>
      </c>
      <c r="T28" s="97">
        <v>5.21E-2</v>
      </c>
    </row>
    <row r="29" spans="1:20" x14ac:dyDescent="0.35">
      <c r="A29" s="64" t="s">
        <v>134</v>
      </c>
      <c r="B29" s="62">
        <v>99474</v>
      </c>
      <c r="C29" s="62">
        <v>17</v>
      </c>
      <c r="D29" s="63">
        <v>64.734099999999998</v>
      </c>
      <c r="E29" s="62">
        <v>99562</v>
      </c>
      <c r="F29" s="62">
        <v>11</v>
      </c>
      <c r="G29" s="63">
        <v>71.210499999999996</v>
      </c>
      <c r="H29" s="62">
        <v>99517</v>
      </c>
      <c r="I29" s="62">
        <v>14</v>
      </c>
      <c r="J29" s="63">
        <v>67.896000000000001</v>
      </c>
      <c r="L29" s="84">
        <f t="shared" si="0"/>
        <v>65</v>
      </c>
      <c r="M29" s="97">
        <v>1.6878899999999999</v>
      </c>
      <c r="N29" s="97">
        <v>8.1119999999999998E-2</v>
      </c>
      <c r="O29" s="97">
        <v>0.21998000000000001</v>
      </c>
      <c r="P29" s="97">
        <v>6.1080000000000002E-2</v>
      </c>
      <c r="Q29" s="97">
        <v>1.32087</v>
      </c>
      <c r="R29" s="97">
        <v>6.5000000000000002E-2</v>
      </c>
      <c r="S29" s="97">
        <v>0.37025999999999998</v>
      </c>
      <c r="T29" s="97">
        <v>5.5649999999999998E-2</v>
      </c>
    </row>
    <row r="30" spans="1:20" x14ac:dyDescent="0.35">
      <c r="A30" s="64" t="s">
        <v>135</v>
      </c>
      <c r="B30" s="62">
        <v>99457</v>
      </c>
      <c r="C30" s="62">
        <v>22</v>
      </c>
      <c r="D30" s="63">
        <v>63.744900000000001</v>
      </c>
      <c r="E30" s="62">
        <v>99551</v>
      </c>
      <c r="F30" s="62">
        <v>13</v>
      </c>
      <c r="G30" s="63">
        <v>70.218100000000007</v>
      </c>
      <c r="H30" s="62">
        <v>99503</v>
      </c>
      <c r="I30" s="62">
        <v>18</v>
      </c>
      <c r="J30" s="63">
        <v>66.9054</v>
      </c>
      <c r="L30" s="84">
        <f t="shared" si="0"/>
        <v>70</v>
      </c>
      <c r="M30" s="97">
        <v>1.94367</v>
      </c>
      <c r="N30" s="97">
        <v>6.9570000000000007E-2</v>
      </c>
      <c r="O30" s="97">
        <v>0.18559999999999999</v>
      </c>
      <c r="P30" s="97">
        <v>5.2679999999999998E-2</v>
      </c>
      <c r="Q30" s="97">
        <v>1.7727999999999999</v>
      </c>
      <c r="R30" s="97">
        <v>0.12553</v>
      </c>
      <c r="S30" s="97">
        <v>0.17993000000000001</v>
      </c>
      <c r="T30" s="97">
        <v>5.0599999999999999E-2</v>
      </c>
    </row>
    <row r="31" spans="1:20" x14ac:dyDescent="0.35">
      <c r="A31" s="64" t="s">
        <v>136</v>
      </c>
      <c r="B31" s="62">
        <v>99435</v>
      </c>
      <c r="C31" s="62">
        <v>30</v>
      </c>
      <c r="D31" s="63">
        <v>62.759</v>
      </c>
      <c r="E31" s="62">
        <v>99539</v>
      </c>
      <c r="F31" s="62">
        <v>14</v>
      </c>
      <c r="G31" s="63">
        <v>69.226900000000001</v>
      </c>
      <c r="H31" s="62">
        <v>99486</v>
      </c>
      <c r="I31" s="62">
        <v>22</v>
      </c>
      <c r="J31" s="63">
        <v>65.917000000000002</v>
      </c>
      <c r="L31" s="84">
        <f t="shared" si="0"/>
        <v>75</v>
      </c>
      <c r="M31" s="97">
        <v>2.2747299999999999</v>
      </c>
      <c r="N31" s="97">
        <v>7.4450000000000002E-2</v>
      </c>
      <c r="O31" s="97">
        <v>9.3219999999999997E-2</v>
      </c>
      <c r="P31" s="97">
        <v>5.0439999999999999E-2</v>
      </c>
      <c r="Q31" s="97">
        <v>2.1731099999999999</v>
      </c>
      <c r="R31" s="97">
        <v>0.12324</v>
      </c>
      <c r="S31" s="97">
        <v>6.8909999999999999E-2</v>
      </c>
      <c r="T31" s="97">
        <v>4.956E-2</v>
      </c>
    </row>
    <row r="32" spans="1:20" x14ac:dyDescent="0.35">
      <c r="A32" s="64" t="s">
        <v>137</v>
      </c>
      <c r="B32" s="62">
        <v>99405</v>
      </c>
      <c r="C32" s="62">
        <v>37</v>
      </c>
      <c r="D32" s="63">
        <v>61.777700000000003</v>
      </c>
      <c r="E32" s="62">
        <v>99525</v>
      </c>
      <c r="F32" s="62">
        <v>15</v>
      </c>
      <c r="G32" s="63">
        <v>68.236400000000003</v>
      </c>
      <c r="H32" s="62">
        <v>99464</v>
      </c>
      <c r="I32" s="62">
        <v>26</v>
      </c>
      <c r="J32" s="63">
        <v>64.9315</v>
      </c>
      <c r="L32" s="84">
        <f t="shared" si="0"/>
        <v>80</v>
      </c>
      <c r="M32" s="97">
        <v>2.61077</v>
      </c>
      <c r="N32" s="97">
        <v>9.0910000000000005E-2</v>
      </c>
      <c r="O32" s="97">
        <v>-2.282E-2</v>
      </c>
      <c r="P32" s="97">
        <v>4.6920000000000003E-2</v>
      </c>
      <c r="Q32" s="97">
        <v>2.52033</v>
      </c>
      <c r="R32" s="97">
        <v>0.11001</v>
      </c>
      <c r="S32" s="97">
        <v>-1.5259999999999999E-2</v>
      </c>
      <c r="T32" s="97">
        <v>4.8570000000000002E-2</v>
      </c>
    </row>
    <row r="33" spans="1:19" x14ac:dyDescent="0.35">
      <c r="A33" s="64" t="s">
        <v>138</v>
      </c>
      <c r="B33" s="62">
        <v>99368</v>
      </c>
      <c r="C33" s="62">
        <v>52</v>
      </c>
      <c r="D33" s="63">
        <v>60.800400000000003</v>
      </c>
      <c r="E33" s="62">
        <v>99510</v>
      </c>
      <c r="F33" s="62">
        <v>21</v>
      </c>
      <c r="G33" s="63">
        <v>67.246700000000004</v>
      </c>
      <c r="H33" s="62">
        <v>99437</v>
      </c>
      <c r="I33" s="62">
        <v>36</v>
      </c>
      <c r="J33" s="63">
        <v>63.948500000000003</v>
      </c>
    </row>
    <row r="34" spans="1:19" x14ac:dyDescent="0.35">
      <c r="A34" s="64" t="s">
        <v>139</v>
      </c>
      <c r="B34" s="62">
        <v>99317</v>
      </c>
      <c r="C34" s="62">
        <v>62</v>
      </c>
      <c r="D34" s="63">
        <v>59.831499999999998</v>
      </c>
      <c r="E34" s="62">
        <v>99489</v>
      </c>
      <c r="F34" s="62">
        <v>23</v>
      </c>
      <c r="G34" s="63">
        <v>66.260400000000004</v>
      </c>
      <c r="H34" s="62">
        <v>99401</v>
      </c>
      <c r="I34" s="62">
        <v>43</v>
      </c>
      <c r="J34" s="63">
        <v>62.971600000000002</v>
      </c>
    </row>
    <row r="35" spans="1:19" x14ac:dyDescent="0.35">
      <c r="A35" s="64" t="s">
        <v>140</v>
      </c>
      <c r="B35" s="62">
        <v>99256</v>
      </c>
      <c r="C35" s="62">
        <v>65</v>
      </c>
      <c r="D35" s="63">
        <v>58.868000000000002</v>
      </c>
      <c r="E35" s="62">
        <v>99467</v>
      </c>
      <c r="F35" s="62">
        <v>24</v>
      </c>
      <c r="G35" s="63">
        <v>65.275400000000005</v>
      </c>
      <c r="H35" s="62">
        <v>99359</v>
      </c>
      <c r="I35" s="62">
        <v>45</v>
      </c>
      <c r="J35" s="63">
        <v>61.998199999999997</v>
      </c>
      <c r="L35" s="72"/>
      <c r="M35" s="2"/>
      <c r="N35" s="73" t="s">
        <v>244</v>
      </c>
      <c r="O35" s="74"/>
      <c r="P35" s="74"/>
      <c r="Q35" s="74"/>
    </row>
    <row r="36" spans="1:19" ht="15" x14ac:dyDescent="0.4">
      <c r="A36" s="64" t="s">
        <v>141</v>
      </c>
      <c r="B36" s="62">
        <v>99191</v>
      </c>
      <c r="C36" s="62">
        <v>69</v>
      </c>
      <c r="D36" s="63">
        <v>57.906100000000002</v>
      </c>
      <c r="E36" s="62">
        <v>99443</v>
      </c>
      <c r="F36" s="62">
        <v>24</v>
      </c>
      <c r="G36" s="63">
        <v>64.290700000000001</v>
      </c>
      <c r="H36" s="62">
        <v>99314</v>
      </c>
      <c r="I36" s="62">
        <v>47</v>
      </c>
      <c r="J36" s="63">
        <v>61.025799999999997</v>
      </c>
      <c r="L36" s="71"/>
      <c r="M36" s="129" t="s">
        <v>310</v>
      </c>
      <c r="N36" s="91"/>
      <c r="O36" s="81"/>
      <c r="P36" s="130" t="s">
        <v>317</v>
      </c>
      <c r="Q36" s="80"/>
    </row>
    <row r="37" spans="1:19" ht="15.5" x14ac:dyDescent="0.4">
      <c r="A37" s="64" t="s">
        <v>142</v>
      </c>
      <c r="B37" s="62">
        <v>99122</v>
      </c>
      <c r="C37" s="62">
        <v>70</v>
      </c>
      <c r="D37" s="63">
        <v>56.945900000000002</v>
      </c>
      <c r="E37" s="62">
        <v>99420</v>
      </c>
      <c r="F37" s="62">
        <v>25</v>
      </c>
      <c r="G37" s="63">
        <v>63.305900000000001</v>
      </c>
      <c r="H37" s="62">
        <v>99267</v>
      </c>
      <c r="I37" s="62">
        <v>48</v>
      </c>
      <c r="J37" s="63">
        <v>60.054400000000001</v>
      </c>
      <c r="L37" s="71" t="s">
        <v>315</v>
      </c>
      <c r="M37" s="82">
        <v>0.69635638873333472</v>
      </c>
      <c r="N37" s="91"/>
      <c r="O37" s="82" t="s">
        <v>316</v>
      </c>
      <c r="P37" s="82">
        <v>1.2673303600122741</v>
      </c>
      <c r="Q37" s="82"/>
    </row>
    <row r="38" spans="1:19" x14ac:dyDescent="0.35">
      <c r="A38" s="64" t="s">
        <v>143</v>
      </c>
      <c r="B38" s="62">
        <v>99053</v>
      </c>
      <c r="C38" s="62">
        <v>74</v>
      </c>
      <c r="D38" s="63">
        <v>55.985399999999998</v>
      </c>
      <c r="E38" s="62">
        <v>99395</v>
      </c>
      <c r="F38" s="62">
        <v>23</v>
      </c>
      <c r="G38" s="63">
        <v>62.321599999999997</v>
      </c>
      <c r="H38" s="62">
        <v>99220</v>
      </c>
      <c r="I38" s="62">
        <v>49</v>
      </c>
      <c r="J38" s="63">
        <v>59.082900000000002</v>
      </c>
    </row>
    <row r="39" spans="1:19" x14ac:dyDescent="0.35">
      <c r="A39" s="64" t="s">
        <v>144</v>
      </c>
      <c r="B39" s="62">
        <v>98980</v>
      </c>
      <c r="C39" s="62">
        <v>76</v>
      </c>
      <c r="D39" s="63">
        <v>55.026299999999999</v>
      </c>
      <c r="E39" s="62">
        <v>99372</v>
      </c>
      <c r="F39" s="62">
        <v>24</v>
      </c>
      <c r="G39" s="63">
        <v>61.335900000000002</v>
      </c>
      <c r="H39" s="62">
        <v>99171</v>
      </c>
      <c r="I39" s="62">
        <v>51</v>
      </c>
      <c r="J39" s="63">
        <v>58.111600000000003</v>
      </c>
      <c r="M39" s="75" t="s">
        <v>229</v>
      </c>
      <c r="N39" s="74"/>
      <c r="O39" s="74"/>
      <c r="P39" s="74"/>
      <c r="Q39" s="76" t="s">
        <v>230</v>
      </c>
    </row>
    <row r="40" spans="1:19" x14ac:dyDescent="0.35">
      <c r="A40" s="64" t="s">
        <v>145</v>
      </c>
      <c r="B40" s="62">
        <v>98905</v>
      </c>
      <c r="C40" s="62">
        <v>77</v>
      </c>
      <c r="D40" s="63">
        <v>54.067900000000002</v>
      </c>
      <c r="E40" s="62">
        <v>99348</v>
      </c>
      <c r="F40" s="62">
        <v>26</v>
      </c>
      <c r="G40" s="63">
        <v>60.350200000000001</v>
      </c>
      <c r="H40" s="62">
        <v>99121</v>
      </c>
      <c r="I40" s="62">
        <v>52</v>
      </c>
      <c r="J40" s="63">
        <v>57.140700000000002</v>
      </c>
      <c r="L40" s="85"/>
      <c r="M40" s="100" t="s">
        <v>232</v>
      </c>
      <c r="N40" s="100" t="str">
        <f>"+2s"</f>
        <v>+2s</v>
      </c>
      <c r="O40" s="100" t="str">
        <f>"-2s"</f>
        <v>-2s</v>
      </c>
      <c r="P40" s="85"/>
      <c r="Q40" s="100" t="s">
        <v>233</v>
      </c>
      <c r="R40" s="100" t="str">
        <f>"+2s"</f>
        <v>+2s</v>
      </c>
      <c r="S40" s="100" t="str">
        <f>"-2s"</f>
        <v>-2s</v>
      </c>
    </row>
    <row r="41" spans="1:19" x14ac:dyDescent="0.35">
      <c r="A41" s="64" t="s">
        <v>146</v>
      </c>
      <c r="B41" s="62">
        <v>98828</v>
      </c>
      <c r="C41" s="62">
        <v>81</v>
      </c>
      <c r="D41" s="63">
        <v>53.109299999999998</v>
      </c>
      <c r="E41" s="62">
        <v>99323</v>
      </c>
      <c r="F41" s="62">
        <v>26</v>
      </c>
      <c r="G41" s="63">
        <v>59.365699999999997</v>
      </c>
      <c r="H41" s="62">
        <v>99070</v>
      </c>
      <c r="I41" s="62">
        <v>54</v>
      </c>
      <c r="J41" s="63">
        <v>56.170200000000001</v>
      </c>
      <c r="L41" s="85">
        <v>0</v>
      </c>
      <c r="M41" s="101">
        <f>10^(M15+N15*$M$37+O15*$P$37)</f>
        <v>5.387791200826765</v>
      </c>
      <c r="N41" s="101">
        <f>10^(M15+N15*$M$37+O15*$P$37+2*P15)</f>
        <v>6.8949442133526455</v>
      </c>
      <c r="O41" s="101">
        <f>10^(M15+N15*$M$37+O15*$P$37-2*P15)</f>
        <v>4.2100839579659768</v>
      </c>
      <c r="P41" s="85">
        <v>0</v>
      </c>
      <c r="Q41" s="101">
        <f>10^(Q15+R15*$M$37+S15*$P$37)</f>
        <v>3.488602729562118</v>
      </c>
      <c r="R41" s="101">
        <f>10^(Q15+R15*$M$37+S15*$P$37+2*T15)</f>
        <v>4.3719130528279537</v>
      </c>
      <c r="S41" s="101">
        <f>10^(Q15+R15*$M$37+S15*$P$37-2*T15)</f>
        <v>2.7837582444225246</v>
      </c>
    </row>
    <row r="42" spans="1:19" x14ac:dyDescent="0.35">
      <c r="A42" s="64" t="s">
        <v>147</v>
      </c>
      <c r="B42" s="62">
        <v>98749</v>
      </c>
      <c r="C42" s="62">
        <v>81</v>
      </c>
      <c r="D42" s="63">
        <v>52.151699999999998</v>
      </c>
      <c r="E42" s="62">
        <v>99296</v>
      </c>
      <c r="F42" s="62">
        <v>29</v>
      </c>
      <c r="G42" s="63">
        <v>58.381300000000003</v>
      </c>
      <c r="H42" s="62">
        <v>99016</v>
      </c>
      <c r="I42" s="62">
        <v>56</v>
      </c>
      <c r="J42" s="63">
        <v>55.200400000000002</v>
      </c>
      <c r="L42" s="85">
        <v>1</v>
      </c>
      <c r="M42" s="101">
        <f t="shared" ref="M42:M58" si="1">10^(M16+N16*$M$37+O16*$P$37)</f>
        <v>0.33730980850248593</v>
      </c>
      <c r="N42" s="101">
        <f t="shared" ref="N42:N58" si="2">10^(M16+N16*$M$37+O16*$P$37+2*P16)</f>
        <v>0.50913033044722644</v>
      </c>
      <c r="O42" s="101">
        <f t="shared" ref="O42:O58" si="3">10^(M16+N16*$M$37+O16*$P$37-2*P16)</f>
        <v>0.22347501240407303</v>
      </c>
      <c r="P42" s="85">
        <v>1</v>
      </c>
      <c r="Q42" s="101">
        <f t="shared" ref="Q42:Q58" si="4">10^(Q16+R16*$M$37+S16*$P$37)</f>
        <v>0.23886115826656826</v>
      </c>
      <c r="R42" s="101">
        <f t="shared" ref="R42:R58" si="5">10^(Q16+R16*$M$37+S16*$P$37+2*T16)</f>
        <v>0.37568645208254786</v>
      </c>
      <c r="S42" s="101">
        <f t="shared" ref="S42:S58" si="6">10^(Q16+R16*$M$37+S16*$P$37-2*T16)</f>
        <v>0.15186774133635836</v>
      </c>
    </row>
    <row r="43" spans="1:19" x14ac:dyDescent="0.35">
      <c r="A43" s="64" t="s">
        <v>148</v>
      </c>
      <c r="B43" s="62">
        <v>98668</v>
      </c>
      <c r="C43" s="62">
        <v>89</v>
      </c>
      <c r="D43" s="63">
        <v>51.193800000000003</v>
      </c>
      <c r="E43" s="62">
        <v>99267</v>
      </c>
      <c r="F43" s="62">
        <v>31</v>
      </c>
      <c r="G43" s="63">
        <v>57.398200000000003</v>
      </c>
      <c r="H43" s="62">
        <v>98961</v>
      </c>
      <c r="I43" s="62">
        <v>60</v>
      </c>
      <c r="J43" s="63">
        <v>54.230899999999998</v>
      </c>
      <c r="L43" s="85">
        <v>5</v>
      </c>
      <c r="M43" s="101">
        <f t="shared" si="1"/>
        <v>0.47124966757910641</v>
      </c>
      <c r="N43" s="101">
        <f t="shared" si="2"/>
        <v>0.82975725213638662</v>
      </c>
      <c r="O43" s="101">
        <f t="shared" si="3"/>
        <v>0.2676400219722524</v>
      </c>
      <c r="P43" s="85">
        <v>5</v>
      </c>
      <c r="Q43" s="101">
        <f t="shared" si="4"/>
        <v>0.25216009398065364</v>
      </c>
      <c r="R43" s="101">
        <f t="shared" si="5"/>
        <v>0.39975725811389967</v>
      </c>
      <c r="S43" s="101">
        <f t="shared" si="6"/>
        <v>0.15905830777490321</v>
      </c>
    </row>
    <row r="44" spans="1:19" x14ac:dyDescent="0.35">
      <c r="A44" s="64" t="s">
        <v>149</v>
      </c>
      <c r="B44" s="62">
        <v>98581</v>
      </c>
      <c r="C44" s="62">
        <v>82</v>
      </c>
      <c r="D44" s="63">
        <v>50.238900000000001</v>
      </c>
      <c r="E44" s="62">
        <v>99237</v>
      </c>
      <c r="F44" s="62">
        <v>30</v>
      </c>
      <c r="G44" s="63">
        <v>56.415799999999997</v>
      </c>
      <c r="H44" s="62">
        <v>98901</v>
      </c>
      <c r="I44" s="62">
        <v>57</v>
      </c>
      <c r="J44" s="63">
        <v>53.263500000000001</v>
      </c>
      <c r="L44" s="85">
        <f t="shared" ref="L44:L58" si="7">L43+5</f>
        <v>10</v>
      </c>
      <c r="M44" s="101">
        <f t="shared" si="1"/>
        <v>0.67578314697889874</v>
      </c>
      <c r="N44" s="101">
        <f t="shared" si="2"/>
        <v>1.0035230607141545</v>
      </c>
      <c r="O44" s="101">
        <f t="shared" si="3"/>
        <v>0.45507958871987136</v>
      </c>
      <c r="P44" s="85">
        <f t="shared" ref="P44:P58" si="8">P43+5</f>
        <v>10</v>
      </c>
      <c r="Q44" s="101">
        <f t="shared" si="4"/>
        <v>0.35955079227556108</v>
      </c>
      <c r="R44" s="101">
        <f t="shared" si="5"/>
        <v>0.56963970133704334</v>
      </c>
      <c r="S44" s="101">
        <f t="shared" si="6"/>
        <v>0.22694480725719887</v>
      </c>
    </row>
    <row r="45" spans="1:19" x14ac:dyDescent="0.35">
      <c r="A45" s="64" t="s">
        <v>150</v>
      </c>
      <c r="B45" s="62">
        <v>98499</v>
      </c>
      <c r="C45" s="62">
        <v>87</v>
      </c>
      <c r="D45" s="63">
        <v>49.279899999999998</v>
      </c>
      <c r="E45" s="62">
        <v>99207</v>
      </c>
      <c r="F45" s="62">
        <v>33</v>
      </c>
      <c r="G45" s="63">
        <v>55.432400000000001</v>
      </c>
      <c r="H45" s="62">
        <v>98845</v>
      </c>
      <c r="I45" s="62">
        <v>61</v>
      </c>
      <c r="J45" s="63">
        <v>52.293300000000002</v>
      </c>
      <c r="L45" s="85">
        <f t="shared" si="7"/>
        <v>15</v>
      </c>
      <c r="M45" s="101">
        <f t="shared" si="1"/>
        <v>1.8260212803835745</v>
      </c>
      <c r="N45" s="101">
        <f t="shared" si="2"/>
        <v>2.8057297328393416</v>
      </c>
      <c r="O45" s="101">
        <f t="shared" si="3"/>
        <v>1.188408732810972</v>
      </c>
      <c r="P45" s="85">
        <f t="shared" si="8"/>
        <v>15</v>
      </c>
      <c r="Q45" s="101">
        <f t="shared" si="4"/>
        <v>0.87459703859431071</v>
      </c>
      <c r="R45" s="101">
        <f t="shared" si="5"/>
        <v>1.3542785581605408</v>
      </c>
      <c r="S45" s="101">
        <f t="shared" si="6"/>
        <v>0.5648173156908699</v>
      </c>
    </row>
    <row r="46" spans="1:19" x14ac:dyDescent="0.35">
      <c r="A46" s="64" t="s">
        <v>151</v>
      </c>
      <c r="B46" s="62">
        <v>98414</v>
      </c>
      <c r="C46" s="62">
        <v>88</v>
      </c>
      <c r="D46" s="63">
        <v>48.322400000000002</v>
      </c>
      <c r="E46" s="62">
        <v>99175</v>
      </c>
      <c r="F46" s="62">
        <v>32</v>
      </c>
      <c r="G46" s="63">
        <v>54.450499999999998</v>
      </c>
      <c r="H46" s="62">
        <v>98785</v>
      </c>
      <c r="I46" s="62">
        <v>60</v>
      </c>
      <c r="J46" s="63">
        <v>51.3247</v>
      </c>
      <c r="L46" s="85">
        <f t="shared" si="7"/>
        <v>20</v>
      </c>
      <c r="M46" s="101">
        <f t="shared" si="1"/>
        <v>2.5169850141602255</v>
      </c>
      <c r="N46" s="101">
        <f t="shared" si="2"/>
        <v>4.0867740759806983</v>
      </c>
      <c r="O46" s="101">
        <f t="shared" si="3"/>
        <v>1.550174647221451</v>
      </c>
      <c r="P46" s="85">
        <f t="shared" si="8"/>
        <v>20</v>
      </c>
      <c r="Q46" s="101">
        <f t="shared" si="4"/>
        <v>1.3774468442762289</v>
      </c>
      <c r="R46" s="101">
        <f t="shared" si="5"/>
        <v>2.0524606919540491</v>
      </c>
      <c r="S46" s="101">
        <f t="shared" si="6"/>
        <v>0.92443174003013739</v>
      </c>
    </row>
    <row r="47" spans="1:19" x14ac:dyDescent="0.35">
      <c r="A47" s="64" t="s">
        <v>152</v>
      </c>
      <c r="B47" s="62">
        <v>98327</v>
      </c>
      <c r="C47" s="62">
        <v>93</v>
      </c>
      <c r="D47" s="63">
        <v>47.364400000000003</v>
      </c>
      <c r="E47" s="62">
        <v>99143</v>
      </c>
      <c r="F47" s="62">
        <v>38</v>
      </c>
      <c r="G47" s="63">
        <v>53.467500000000001</v>
      </c>
      <c r="H47" s="62">
        <v>98726</v>
      </c>
      <c r="I47" s="62">
        <v>66</v>
      </c>
      <c r="J47" s="63">
        <v>50.3553</v>
      </c>
      <c r="L47" s="85">
        <f t="shared" si="7"/>
        <v>25</v>
      </c>
      <c r="M47" s="101">
        <f t="shared" si="1"/>
        <v>2.6657507065011328</v>
      </c>
      <c r="N47" s="101">
        <f t="shared" si="2"/>
        <v>4.0068172330745426</v>
      </c>
      <c r="O47" s="101">
        <f t="shared" si="3"/>
        <v>1.7735340585421422</v>
      </c>
      <c r="P47" s="85">
        <f t="shared" si="8"/>
        <v>25</v>
      </c>
      <c r="Q47" s="101">
        <f t="shared" si="4"/>
        <v>1.7404854089994652</v>
      </c>
      <c r="R47" s="101">
        <f t="shared" si="5"/>
        <v>2.310417081854113</v>
      </c>
      <c r="S47" s="101">
        <f t="shared" si="6"/>
        <v>1.3111439846648929</v>
      </c>
    </row>
    <row r="48" spans="1:19" x14ac:dyDescent="0.35">
      <c r="A48" s="64" t="s">
        <v>153</v>
      </c>
      <c r="B48" s="62">
        <v>98236</v>
      </c>
      <c r="C48" s="62">
        <v>98</v>
      </c>
      <c r="D48" s="63">
        <v>46.408099999999997</v>
      </c>
      <c r="E48" s="62">
        <v>99106</v>
      </c>
      <c r="F48" s="62">
        <v>40</v>
      </c>
      <c r="G48" s="63">
        <v>52.487400000000001</v>
      </c>
      <c r="H48" s="62">
        <v>98661</v>
      </c>
      <c r="I48" s="62">
        <v>69</v>
      </c>
      <c r="J48" s="63">
        <v>49.388199999999998</v>
      </c>
      <c r="L48" s="85">
        <f t="shared" si="7"/>
        <v>30</v>
      </c>
      <c r="M48" s="101">
        <f t="shared" si="1"/>
        <v>2.9884893742718801</v>
      </c>
      <c r="N48" s="101">
        <f t="shared" si="2"/>
        <v>4.2338134282111035</v>
      </c>
      <c r="O48" s="101">
        <f t="shared" si="3"/>
        <v>2.1094620468218284</v>
      </c>
      <c r="P48" s="85">
        <f t="shared" si="8"/>
        <v>30</v>
      </c>
      <c r="Q48" s="101">
        <f t="shared" si="4"/>
        <v>2.0926489167515641</v>
      </c>
      <c r="R48" s="101">
        <f t="shared" si="5"/>
        <v>2.4819691150877459</v>
      </c>
      <c r="S48" s="101">
        <f t="shared" si="6"/>
        <v>1.7643972530361951</v>
      </c>
    </row>
    <row r="49" spans="1:19" x14ac:dyDescent="0.35">
      <c r="A49" s="64" t="s">
        <v>154</v>
      </c>
      <c r="B49" s="62">
        <v>98140</v>
      </c>
      <c r="C49" s="62">
        <v>103</v>
      </c>
      <c r="D49" s="63">
        <v>45.4529</v>
      </c>
      <c r="E49" s="62">
        <v>99066</v>
      </c>
      <c r="F49" s="62">
        <v>44</v>
      </c>
      <c r="G49" s="63">
        <v>51.508299999999998</v>
      </c>
      <c r="H49" s="62">
        <v>98592</v>
      </c>
      <c r="I49" s="62">
        <v>74</v>
      </c>
      <c r="J49" s="63">
        <v>48.4221</v>
      </c>
      <c r="L49" s="85">
        <f t="shared" si="7"/>
        <v>35</v>
      </c>
      <c r="M49" s="101">
        <f t="shared" si="1"/>
        <v>4.0303649847952068</v>
      </c>
      <c r="N49" s="101">
        <f t="shared" si="2"/>
        <v>5.4061037621950723</v>
      </c>
      <c r="O49" s="101">
        <f t="shared" si="3"/>
        <v>3.0047225553191539</v>
      </c>
      <c r="P49" s="85">
        <f t="shared" si="8"/>
        <v>35</v>
      </c>
      <c r="Q49" s="101">
        <f t="shared" si="4"/>
        <v>2.8987222273061515</v>
      </c>
      <c r="R49" s="101">
        <f t="shared" si="5"/>
        <v>3.1767760558669464</v>
      </c>
      <c r="S49" s="101">
        <f t="shared" si="6"/>
        <v>2.6450056293897806</v>
      </c>
    </row>
    <row r="50" spans="1:19" x14ac:dyDescent="0.35">
      <c r="A50" s="64" t="s">
        <v>155</v>
      </c>
      <c r="B50" s="62">
        <v>98039</v>
      </c>
      <c r="C50" s="62">
        <v>107</v>
      </c>
      <c r="D50" s="63">
        <v>44.499200000000002</v>
      </c>
      <c r="E50" s="62">
        <v>99023</v>
      </c>
      <c r="F50" s="62">
        <v>49</v>
      </c>
      <c r="G50" s="63">
        <v>50.5306</v>
      </c>
      <c r="H50" s="62">
        <v>98519</v>
      </c>
      <c r="I50" s="62">
        <v>79</v>
      </c>
      <c r="J50" s="63">
        <v>47.457599999999999</v>
      </c>
      <c r="L50" s="85">
        <f t="shared" si="7"/>
        <v>40</v>
      </c>
      <c r="M50" s="101">
        <f t="shared" si="1"/>
        <v>6.3831319396948834</v>
      </c>
      <c r="N50" s="101">
        <f t="shared" si="2"/>
        <v>8.7485045376025834</v>
      </c>
      <c r="O50" s="101">
        <f t="shared" si="3"/>
        <v>4.6572957908893589</v>
      </c>
      <c r="P50" s="85">
        <f t="shared" si="8"/>
        <v>40</v>
      </c>
      <c r="Q50" s="101">
        <f t="shared" si="4"/>
        <v>4.7083372948547444</v>
      </c>
      <c r="R50" s="101">
        <f t="shared" si="5"/>
        <v>4.9689836435944477</v>
      </c>
      <c r="S50" s="101">
        <f t="shared" si="6"/>
        <v>4.4613630617797631</v>
      </c>
    </row>
    <row r="51" spans="1:19" x14ac:dyDescent="0.35">
      <c r="A51" s="64" t="s">
        <v>156</v>
      </c>
      <c r="B51" s="62">
        <v>97934</v>
      </c>
      <c r="C51" s="62">
        <v>120</v>
      </c>
      <c r="D51" s="63">
        <v>43.546500000000002</v>
      </c>
      <c r="E51" s="62">
        <v>98975</v>
      </c>
      <c r="F51" s="62">
        <v>52</v>
      </c>
      <c r="G51" s="63">
        <v>49.555</v>
      </c>
      <c r="H51" s="62">
        <v>98442</v>
      </c>
      <c r="I51" s="62">
        <v>86</v>
      </c>
      <c r="J51" s="63">
        <v>46.494500000000002</v>
      </c>
      <c r="L51" s="85">
        <f t="shared" si="7"/>
        <v>45</v>
      </c>
      <c r="M51" s="101">
        <f t="shared" si="1"/>
        <v>11.903752079954375</v>
      </c>
      <c r="N51" s="101">
        <f t="shared" si="2"/>
        <v>16.379621928132565</v>
      </c>
      <c r="O51" s="101">
        <f t="shared" si="3"/>
        <v>8.6509514201695126</v>
      </c>
      <c r="P51" s="85">
        <f t="shared" si="8"/>
        <v>45</v>
      </c>
      <c r="Q51" s="101">
        <f t="shared" si="4"/>
        <v>8.8801349281690456</v>
      </c>
      <c r="R51" s="101">
        <f t="shared" si="5"/>
        <v>10.231034865512932</v>
      </c>
      <c r="S51" s="101">
        <f t="shared" si="6"/>
        <v>7.7076070386878115</v>
      </c>
    </row>
    <row r="52" spans="1:19" x14ac:dyDescent="0.35">
      <c r="A52" s="64" t="s">
        <v>157</v>
      </c>
      <c r="B52" s="62">
        <v>97817</v>
      </c>
      <c r="C52" s="62">
        <v>132</v>
      </c>
      <c r="D52" s="63">
        <v>42.598100000000002</v>
      </c>
      <c r="E52" s="62">
        <v>98923</v>
      </c>
      <c r="F52" s="62">
        <v>62</v>
      </c>
      <c r="G52" s="63">
        <v>48.580500000000001</v>
      </c>
      <c r="H52" s="62">
        <v>98357</v>
      </c>
      <c r="I52" s="62">
        <v>97</v>
      </c>
      <c r="J52" s="63">
        <v>45.534300000000002</v>
      </c>
      <c r="L52" s="85">
        <f t="shared" si="7"/>
        <v>50</v>
      </c>
      <c r="M52" s="101">
        <f t="shared" si="1"/>
        <v>21.574232833585917</v>
      </c>
      <c r="N52" s="101">
        <f t="shared" si="2"/>
        <v>29.826023892377215</v>
      </c>
      <c r="O52" s="101">
        <f t="shared" si="3"/>
        <v>15.605416398688439</v>
      </c>
      <c r="P52" s="85">
        <f t="shared" si="8"/>
        <v>50</v>
      </c>
      <c r="Q52" s="101">
        <f t="shared" si="4"/>
        <v>15.134312185632115</v>
      </c>
      <c r="R52" s="101">
        <f t="shared" si="5"/>
        <v>18.260921444306561</v>
      </c>
      <c r="S52" s="101">
        <f t="shared" si="6"/>
        <v>12.543036562023312</v>
      </c>
    </row>
    <row r="53" spans="1:19" x14ac:dyDescent="0.35">
      <c r="A53" s="64" t="s">
        <v>158</v>
      </c>
      <c r="B53" s="62">
        <v>97688</v>
      </c>
      <c r="C53" s="62">
        <v>142</v>
      </c>
      <c r="D53" s="63">
        <v>41.653599999999997</v>
      </c>
      <c r="E53" s="62">
        <v>98862</v>
      </c>
      <c r="F53" s="62">
        <v>69</v>
      </c>
      <c r="G53" s="63">
        <v>47.610100000000003</v>
      </c>
      <c r="H53" s="62">
        <v>98261</v>
      </c>
      <c r="I53" s="62">
        <v>107</v>
      </c>
      <c r="J53" s="63">
        <v>44.578200000000002</v>
      </c>
      <c r="L53" s="85">
        <f t="shared" si="7"/>
        <v>55</v>
      </c>
      <c r="M53" s="101">
        <f t="shared" si="1"/>
        <v>37.817165442221857</v>
      </c>
      <c r="N53" s="101">
        <f t="shared" si="2"/>
        <v>52.994277249791878</v>
      </c>
      <c r="O53" s="101">
        <f t="shared" si="3"/>
        <v>26.986649810192393</v>
      </c>
      <c r="P53" s="85">
        <f t="shared" si="8"/>
        <v>55</v>
      </c>
      <c r="Q53" s="101">
        <f t="shared" si="4"/>
        <v>23.770262023408602</v>
      </c>
      <c r="R53" s="101">
        <f t="shared" si="5"/>
        <v>30.15323893297877</v>
      </c>
      <c r="S53" s="101">
        <f t="shared" si="6"/>
        <v>18.738463152080477</v>
      </c>
    </row>
    <row r="54" spans="1:19" x14ac:dyDescent="0.35">
      <c r="A54" s="64" t="s">
        <v>159</v>
      </c>
      <c r="B54" s="62">
        <v>97549</v>
      </c>
      <c r="C54" s="62">
        <v>159</v>
      </c>
      <c r="D54" s="63">
        <v>40.712299999999999</v>
      </c>
      <c r="E54" s="62">
        <v>98794</v>
      </c>
      <c r="F54" s="62">
        <v>74</v>
      </c>
      <c r="G54" s="63">
        <v>46.642899999999997</v>
      </c>
      <c r="H54" s="62">
        <v>98156</v>
      </c>
      <c r="I54" s="62">
        <v>117</v>
      </c>
      <c r="J54" s="63">
        <v>43.6252</v>
      </c>
      <c r="L54" s="85">
        <f t="shared" si="7"/>
        <v>60</v>
      </c>
      <c r="M54" s="101">
        <f t="shared" si="1"/>
        <v>64.652352733082566</v>
      </c>
      <c r="N54" s="101">
        <f t="shared" si="2"/>
        <v>87.963871147960035</v>
      </c>
      <c r="O54" s="101">
        <f t="shared" si="3"/>
        <v>47.518676240294837</v>
      </c>
      <c r="P54" s="85">
        <f t="shared" si="8"/>
        <v>60</v>
      </c>
      <c r="Q54" s="101">
        <f t="shared" si="4"/>
        <v>39.480735111313905</v>
      </c>
      <c r="R54" s="101">
        <f t="shared" si="5"/>
        <v>50.18630601421647</v>
      </c>
      <c r="S54" s="101">
        <f t="shared" si="6"/>
        <v>31.058839925141879</v>
      </c>
    </row>
    <row r="55" spans="1:19" x14ac:dyDescent="0.35">
      <c r="A55" s="64" t="s">
        <v>160</v>
      </c>
      <c r="B55" s="62">
        <v>97393</v>
      </c>
      <c r="C55" s="62">
        <v>167</v>
      </c>
      <c r="D55" s="63">
        <v>39.776499999999999</v>
      </c>
      <c r="E55" s="62">
        <v>98721</v>
      </c>
      <c r="F55" s="62">
        <v>81</v>
      </c>
      <c r="G55" s="63">
        <v>45.677</v>
      </c>
      <c r="H55" s="62">
        <v>98041</v>
      </c>
      <c r="I55" s="62">
        <v>124</v>
      </c>
      <c r="J55" s="63">
        <v>42.675899999999999</v>
      </c>
      <c r="L55" s="85">
        <f t="shared" si="7"/>
        <v>65</v>
      </c>
      <c r="M55" s="101">
        <f t="shared" si="1"/>
        <v>105.47894148273329</v>
      </c>
      <c r="N55" s="101">
        <f t="shared" si="2"/>
        <v>139.74161652574264</v>
      </c>
      <c r="O55" s="101">
        <f t="shared" si="3"/>
        <v>79.616991508526965</v>
      </c>
      <c r="P55" s="85">
        <f t="shared" si="8"/>
        <v>65</v>
      </c>
      <c r="Q55" s="101">
        <f t="shared" si="4"/>
        <v>68.450228836510604</v>
      </c>
      <c r="R55" s="101">
        <f t="shared" si="5"/>
        <v>88.445329529247459</v>
      </c>
      <c r="S55" s="101">
        <f t="shared" si="6"/>
        <v>52.975480477137786</v>
      </c>
    </row>
    <row r="56" spans="1:19" x14ac:dyDescent="0.35">
      <c r="A56" s="64" t="s">
        <v>161</v>
      </c>
      <c r="B56" s="62">
        <v>97231</v>
      </c>
      <c r="C56" s="62">
        <v>191</v>
      </c>
      <c r="D56" s="63">
        <v>38.841999999999999</v>
      </c>
      <c r="E56" s="62">
        <v>98641</v>
      </c>
      <c r="F56" s="62">
        <v>91</v>
      </c>
      <c r="G56" s="63">
        <v>44.7136</v>
      </c>
      <c r="H56" s="62">
        <v>97919</v>
      </c>
      <c r="I56" s="62">
        <v>142</v>
      </c>
      <c r="J56" s="63">
        <v>41.728499999999997</v>
      </c>
      <c r="L56" s="85">
        <f t="shared" si="7"/>
        <v>70</v>
      </c>
      <c r="M56" s="101">
        <f t="shared" si="1"/>
        <v>168.78429295581017</v>
      </c>
      <c r="N56" s="101">
        <f t="shared" si="2"/>
        <v>215.12556739053025</v>
      </c>
      <c r="O56" s="101">
        <f t="shared" si="3"/>
        <v>132.42562422567147</v>
      </c>
      <c r="P56" s="85">
        <f t="shared" si="8"/>
        <v>70</v>
      </c>
      <c r="Q56" s="101">
        <f t="shared" si="4"/>
        <v>122.53054611534672</v>
      </c>
      <c r="R56" s="101">
        <f t="shared" si="5"/>
        <v>154.6836349633559</v>
      </c>
      <c r="S56" s="101">
        <f t="shared" si="6"/>
        <v>97.060912325223171</v>
      </c>
    </row>
    <row r="57" spans="1:19" x14ac:dyDescent="0.35">
      <c r="A57" s="64" t="s">
        <v>162</v>
      </c>
      <c r="B57" s="62">
        <v>97045</v>
      </c>
      <c r="C57" s="62">
        <v>207</v>
      </c>
      <c r="D57" s="63">
        <v>37.915399999999998</v>
      </c>
      <c r="E57" s="62">
        <v>98551</v>
      </c>
      <c r="F57" s="62">
        <v>101</v>
      </c>
      <c r="G57" s="63">
        <v>43.753999999999998</v>
      </c>
      <c r="H57" s="62">
        <v>97780</v>
      </c>
      <c r="I57" s="62">
        <v>155</v>
      </c>
      <c r="J57" s="63">
        <v>40.787100000000002</v>
      </c>
      <c r="L57" s="85">
        <f t="shared" si="7"/>
        <v>75</v>
      </c>
      <c r="M57" s="101">
        <f t="shared" si="1"/>
        <v>278.42887287536144</v>
      </c>
      <c r="N57" s="101">
        <f t="shared" si="2"/>
        <v>351.2321557789931</v>
      </c>
      <c r="O57" s="101">
        <f t="shared" si="3"/>
        <v>220.71622992122599</v>
      </c>
      <c r="P57" s="85">
        <f t="shared" si="8"/>
        <v>75</v>
      </c>
      <c r="Q57" s="101">
        <f t="shared" si="4"/>
        <v>221.95283490937805</v>
      </c>
      <c r="R57" s="101">
        <f t="shared" si="5"/>
        <v>278.85645141418132</v>
      </c>
      <c r="S57" s="101">
        <f t="shared" si="6"/>
        <v>176.66100488075114</v>
      </c>
    </row>
    <row r="58" spans="1:19" x14ac:dyDescent="0.35">
      <c r="A58" s="64" t="s">
        <v>163</v>
      </c>
      <c r="B58" s="62">
        <v>96844</v>
      </c>
      <c r="C58" s="62">
        <v>221</v>
      </c>
      <c r="D58" s="63">
        <v>36.993000000000002</v>
      </c>
      <c r="E58" s="62">
        <v>98451</v>
      </c>
      <c r="F58" s="62">
        <v>113</v>
      </c>
      <c r="G58" s="63">
        <v>42.797899999999998</v>
      </c>
      <c r="H58" s="62">
        <v>97628</v>
      </c>
      <c r="I58" s="62">
        <v>168</v>
      </c>
      <c r="J58" s="63">
        <v>39.849699999999999</v>
      </c>
      <c r="L58" s="85">
        <f t="shared" si="7"/>
        <v>80</v>
      </c>
      <c r="M58" s="101">
        <f t="shared" si="1"/>
        <v>441.7283575622086</v>
      </c>
      <c r="N58" s="101">
        <f t="shared" si="2"/>
        <v>548.27100677998521</v>
      </c>
      <c r="O58" s="101">
        <f t="shared" si="3"/>
        <v>355.88958646669272</v>
      </c>
      <c r="P58" s="85">
        <f t="shared" si="8"/>
        <v>80</v>
      </c>
      <c r="Q58" s="101">
        <f t="shared" si="4"/>
        <v>378.09131811360891</v>
      </c>
      <c r="R58" s="101">
        <f t="shared" si="5"/>
        <v>472.86449365449545</v>
      </c>
      <c r="S58" s="101">
        <f t="shared" si="6"/>
        <v>302.31291786804508</v>
      </c>
    </row>
    <row r="59" spans="1:19" x14ac:dyDescent="0.35">
      <c r="A59" s="64" t="s">
        <v>164</v>
      </c>
      <c r="B59" s="62">
        <v>96630</v>
      </c>
      <c r="C59" s="62">
        <v>250</v>
      </c>
      <c r="D59" s="63">
        <v>36.073900000000002</v>
      </c>
      <c r="E59" s="62">
        <v>98340</v>
      </c>
      <c r="F59" s="62">
        <v>127</v>
      </c>
      <c r="G59" s="63">
        <v>41.845799999999997</v>
      </c>
      <c r="H59" s="62">
        <v>97464</v>
      </c>
      <c r="I59" s="62">
        <v>189</v>
      </c>
      <c r="J59" s="63">
        <v>38.915900000000001</v>
      </c>
    </row>
    <row r="60" spans="1:19" x14ac:dyDescent="0.35">
      <c r="A60" s="64" t="s">
        <v>165</v>
      </c>
      <c r="B60" s="62">
        <v>96389</v>
      </c>
      <c r="C60" s="62">
        <v>266</v>
      </c>
      <c r="D60" s="63">
        <v>35.162999999999997</v>
      </c>
      <c r="E60" s="62">
        <v>98215</v>
      </c>
      <c r="F60" s="62">
        <v>140</v>
      </c>
      <c r="G60" s="63">
        <v>40.898400000000002</v>
      </c>
      <c r="H60" s="62">
        <v>97280</v>
      </c>
      <c r="I60" s="62">
        <v>204</v>
      </c>
      <c r="J60" s="63">
        <v>37.988700000000001</v>
      </c>
    </row>
    <row r="61" spans="1:19" x14ac:dyDescent="0.35">
      <c r="A61" s="64" t="s">
        <v>166</v>
      </c>
      <c r="B61" s="62">
        <v>96132</v>
      </c>
      <c r="C61" s="62">
        <v>300</v>
      </c>
      <c r="D61" s="63">
        <v>34.255600000000001</v>
      </c>
      <c r="E61" s="62">
        <v>98077</v>
      </c>
      <c r="F61" s="62">
        <v>155</v>
      </c>
      <c r="G61" s="63">
        <v>39.954999999999998</v>
      </c>
      <c r="H61" s="62">
        <v>97081</v>
      </c>
      <c r="I61" s="62">
        <v>228</v>
      </c>
      <c r="J61" s="63">
        <v>37.065399999999997</v>
      </c>
    </row>
    <row r="62" spans="1:19" x14ac:dyDescent="0.35">
      <c r="A62" s="64" t="s">
        <v>167</v>
      </c>
      <c r="B62" s="62">
        <v>95844</v>
      </c>
      <c r="C62" s="62">
        <v>335</v>
      </c>
      <c r="D62" s="63">
        <v>33.357100000000003</v>
      </c>
      <c r="E62" s="62">
        <v>97925</v>
      </c>
      <c r="F62" s="62">
        <v>173</v>
      </c>
      <c r="G62" s="63">
        <v>39.016300000000001</v>
      </c>
      <c r="H62" s="62">
        <v>96859</v>
      </c>
      <c r="I62" s="62">
        <v>255</v>
      </c>
      <c r="J62" s="63">
        <v>36.1492</v>
      </c>
    </row>
    <row r="63" spans="1:19" x14ac:dyDescent="0.35">
      <c r="A63" s="64" t="s">
        <v>168</v>
      </c>
      <c r="B63" s="62">
        <v>95523</v>
      </c>
      <c r="C63" s="62">
        <v>367</v>
      </c>
      <c r="D63" s="63">
        <v>32.467500000000001</v>
      </c>
      <c r="E63" s="62">
        <v>97755</v>
      </c>
      <c r="F63" s="62">
        <v>188</v>
      </c>
      <c r="G63" s="63">
        <v>38.083199999999998</v>
      </c>
      <c r="H63" s="62">
        <v>96612</v>
      </c>
      <c r="I63" s="62">
        <v>279</v>
      </c>
      <c r="J63" s="63">
        <v>35.240400000000001</v>
      </c>
      <c r="L63" s="2"/>
      <c r="M63" s="2"/>
      <c r="N63" s="2"/>
      <c r="O63" s="92" t="s">
        <v>236</v>
      </c>
      <c r="P63" s="2"/>
    </row>
    <row r="64" spans="1:19" x14ac:dyDescent="0.35">
      <c r="A64" s="64" t="s">
        <v>169</v>
      </c>
      <c r="B64" s="62">
        <v>95172</v>
      </c>
      <c r="C64" s="62">
        <v>409</v>
      </c>
      <c r="D64" s="63">
        <v>31.5854</v>
      </c>
      <c r="E64" s="62">
        <v>97571</v>
      </c>
      <c r="F64" s="62">
        <v>206</v>
      </c>
      <c r="G64" s="63">
        <v>37.1541</v>
      </c>
      <c r="H64" s="62">
        <v>96343</v>
      </c>
      <c r="I64" s="62">
        <v>308</v>
      </c>
      <c r="J64" s="63">
        <v>34.337600000000002</v>
      </c>
      <c r="L64" s="86"/>
      <c r="M64" s="86"/>
      <c r="N64" s="86" t="s">
        <v>229</v>
      </c>
      <c r="O64" s="86"/>
      <c r="P64" s="86" t="s">
        <v>230</v>
      </c>
    </row>
    <row r="65" spans="1:16" x14ac:dyDescent="0.35">
      <c r="A65" s="64" t="s">
        <v>170</v>
      </c>
      <c r="B65" s="62">
        <v>94783</v>
      </c>
      <c r="C65" s="62">
        <v>453</v>
      </c>
      <c r="D65" s="63">
        <v>30.713000000000001</v>
      </c>
      <c r="E65" s="62">
        <v>97371</v>
      </c>
      <c r="F65" s="62">
        <v>223</v>
      </c>
      <c r="G65" s="63">
        <v>36.229599999999998</v>
      </c>
      <c r="H65" s="62">
        <v>96045</v>
      </c>
      <c r="I65" s="62">
        <v>339</v>
      </c>
      <c r="J65" s="63">
        <v>33.442300000000003</v>
      </c>
      <c r="L65" s="87" t="s">
        <v>292</v>
      </c>
      <c r="M65" s="87" t="s">
        <v>235</v>
      </c>
      <c r="N65" s="87" t="s">
        <v>234</v>
      </c>
      <c r="O65" s="87" t="s">
        <v>235</v>
      </c>
      <c r="P65" s="87" t="s">
        <v>234</v>
      </c>
    </row>
    <row r="66" spans="1:16" x14ac:dyDescent="0.35">
      <c r="A66" s="64" t="s">
        <v>171</v>
      </c>
      <c r="B66" s="62">
        <v>94353</v>
      </c>
      <c r="C66" s="62">
        <v>509</v>
      </c>
      <c r="D66" s="63">
        <v>29.8506</v>
      </c>
      <c r="E66" s="62">
        <v>97153</v>
      </c>
      <c r="F66" s="62">
        <v>251</v>
      </c>
      <c r="G66" s="63">
        <v>35.309399999999997</v>
      </c>
      <c r="H66" s="62">
        <v>95720</v>
      </c>
      <c r="I66" s="62">
        <v>381</v>
      </c>
      <c r="J66" s="63">
        <v>32.554400000000001</v>
      </c>
      <c r="L66" s="88">
        <v>0</v>
      </c>
      <c r="M66" s="89">
        <v>3.72</v>
      </c>
      <c r="N66" s="89">
        <v>5.387791200826765</v>
      </c>
      <c r="O66" s="89">
        <v>3.11</v>
      </c>
      <c r="P66" s="89">
        <v>3.488602729562118</v>
      </c>
    </row>
    <row r="67" spans="1:16" x14ac:dyDescent="0.35">
      <c r="A67" s="64" t="s">
        <v>172</v>
      </c>
      <c r="B67" s="62">
        <v>93872</v>
      </c>
      <c r="C67" s="62">
        <v>562</v>
      </c>
      <c r="D67" s="63">
        <v>29.000800000000002</v>
      </c>
      <c r="E67" s="62">
        <v>96910</v>
      </c>
      <c r="F67" s="62">
        <v>264</v>
      </c>
      <c r="G67" s="63">
        <v>34.396999999999998</v>
      </c>
      <c r="H67" s="62">
        <v>95355</v>
      </c>
      <c r="I67" s="62">
        <v>414</v>
      </c>
      <c r="J67" s="63">
        <v>31.677099999999999</v>
      </c>
      <c r="L67" s="88">
        <v>1</v>
      </c>
      <c r="M67" s="89">
        <v>0.72268840085121244</v>
      </c>
      <c r="N67" s="89">
        <v>0.33730980850248593</v>
      </c>
      <c r="O67" s="89">
        <v>0.60187182136439699</v>
      </c>
      <c r="P67" s="89">
        <v>0.23886115826656826</v>
      </c>
    </row>
    <row r="68" spans="1:16" x14ac:dyDescent="0.35">
      <c r="A68" s="64" t="s">
        <v>173</v>
      </c>
      <c r="B68" s="62">
        <v>93345</v>
      </c>
      <c r="C68" s="62">
        <v>621</v>
      </c>
      <c r="D68" s="63">
        <v>28.161799999999999</v>
      </c>
      <c r="E68" s="62">
        <v>96654</v>
      </c>
      <c r="F68" s="62">
        <v>287</v>
      </c>
      <c r="G68" s="63">
        <v>33.486600000000003</v>
      </c>
      <c r="H68" s="62">
        <v>94960</v>
      </c>
      <c r="I68" s="62">
        <v>455</v>
      </c>
      <c r="J68" s="63">
        <v>30.8066</v>
      </c>
      <c r="L68" s="88">
        <v>5</v>
      </c>
      <c r="M68" s="89">
        <v>0.46205150869860212</v>
      </c>
      <c r="N68" s="89">
        <v>0.47124966757910641</v>
      </c>
      <c r="O68" s="89">
        <v>0.37137781168128381</v>
      </c>
      <c r="P68" s="89">
        <v>0.25216009398065364</v>
      </c>
    </row>
    <row r="69" spans="1:16" x14ac:dyDescent="0.35">
      <c r="A69" s="64" t="s">
        <v>174</v>
      </c>
      <c r="B69" s="62">
        <v>92766</v>
      </c>
      <c r="C69" s="62">
        <v>675</v>
      </c>
      <c r="D69" s="63">
        <v>27.334599999999998</v>
      </c>
      <c r="E69" s="62">
        <v>96377</v>
      </c>
      <c r="F69" s="62">
        <v>306</v>
      </c>
      <c r="G69" s="63">
        <v>32.581400000000002</v>
      </c>
      <c r="H69" s="62">
        <v>94528</v>
      </c>
      <c r="I69" s="62">
        <v>491</v>
      </c>
      <c r="J69" s="63">
        <v>29.9452</v>
      </c>
      <c r="L69" s="88">
        <f t="shared" ref="L69:L83" si="9">L68+5</f>
        <v>10</v>
      </c>
      <c r="M69" s="89">
        <v>0.53260978796099145</v>
      </c>
      <c r="N69" s="89">
        <v>0.67578314697889874</v>
      </c>
      <c r="O69" s="89">
        <v>0.41167965298416487</v>
      </c>
      <c r="P69" s="89">
        <v>0.35955079227556108</v>
      </c>
    </row>
    <row r="70" spans="1:16" x14ac:dyDescent="0.35">
      <c r="A70" s="64" t="s">
        <v>175</v>
      </c>
      <c r="B70" s="62">
        <v>92139</v>
      </c>
      <c r="C70" s="62">
        <v>743</v>
      </c>
      <c r="D70" s="63">
        <v>26.516999999999999</v>
      </c>
      <c r="E70" s="62">
        <v>96083</v>
      </c>
      <c r="F70" s="62">
        <v>329</v>
      </c>
      <c r="G70" s="63">
        <v>31.6798</v>
      </c>
      <c r="H70" s="62">
        <v>94064</v>
      </c>
      <c r="I70" s="62">
        <v>536</v>
      </c>
      <c r="J70" s="63">
        <v>29.090499999999999</v>
      </c>
      <c r="L70" s="88">
        <f t="shared" si="9"/>
        <v>15</v>
      </c>
      <c r="M70" s="89">
        <v>2.0209738882129846</v>
      </c>
      <c r="N70" s="89">
        <v>1.8260212803835745</v>
      </c>
      <c r="O70" s="89">
        <v>0.84378861086276125</v>
      </c>
      <c r="P70" s="89">
        <v>0.87459703859431071</v>
      </c>
    </row>
    <row r="71" spans="1:16" x14ac:dyDescent="0.35">
      <c r="A71" s="64" t="s">
        <v>176</v>
      </c>
      <c r="B71" s="62">
        <v>91455</v>
      </c>
      <c r="C71" s="62">
        <v>799</v>
      </c>
      <c r="D71" s="63">
        <v>25.7117</v>
      </c>
      <c r="E71" s="62">
        <v>95767</v>
      </c>
      <c r="F71" s="62">
        <v>348</v>
      </c>
      <c r="G71" s="63">
        <v>30.782599999999999</v>
      </c>
      <c r="H71" s="62">
        <v>93559</v>
      </c>
      <c r="I71" s="62">
        <v>574</v>
      </c>
      <c r="J71" s="63">
        <v>28.244700000000002</v>
      </c>
      <c r="L71" s="88">
        <f t="shared" si="9"/>
        <v>20</v>
      </c>
      <c r="M71" s="89">
        <v>3.5363101474973346</v>
      </c>
      <c r="N71" s="89">
        <v>2.5169850141602255</v>
      </c>
      <c r="O71" s="89">
        <v>1.1963766877456372</v>
      </c>
      <c r="P71" s="89">
        <v>1.3774468442762289</v>
      </c>
    </row>
    <row r="72" spans="1:16" x14ac:dyDescent="0.35">
      <c r="A72" s="64" t="s">
        <v>177</v>
      </c>
      <c r="B72" s="62">
        <v>90724</v>
      </c>
      <c r="C72" s="62">
        <v>846</v>
      </c>
      <c r="D72" s="63">
        <v>24.914899999999999</v>
      </c>
      <c r="E72" s="62">
        <v>95434</v>
      </c>
      <c r="F72" s="62">
        <v>374</v>
      </c>
      <c r="G72" s="63">
        <v>29.888300000000001</v>
      </c>
      <c r="H72" s="62">
        <v>93022</v>
      </c>
      <c r="I72" s="62">
        <v>610</v>
      </c>
      <c r="J72" s="63">
        <v>27.404800000000002</v>
      </c>
      <c r="L72" s="88">
        <f t="shared" si="9"/>
        <v>25</v>
      </c>
      <c r="M72" s="89">
        <v>4.1049491936706595</v>
      </c>
      <c r="N72" s="89">
        <v>2.6657507065011328</v>
      </c>
      <c r="O72" s="89">
        <v>1.4192535330354028</v>
      </c>
      <c r="P72" s="89">
        <v>1.7404854089994652</v>
      </c>
    </row>
    <row r="73" spans="1:16" x14ac:dyDescent="0.35">
      <c r="A73" s="64" t="s">
        <v>178</v>
      </c>
      <c r="B73" s="62">
        <v>89956</v>
      </c>
      <c r="C73" s="62">
        <v>911</v>
      </c>
      <c r="D73" s="63">
        <v>24.1233</v>
      </c>
      <c r="E73" s="62">
        <v>95077</v>
      </c>
      <c r="F73" s="62">
        <v>393</v>
      </c>
      <c r="G73" s="63">
        <v>28.998699999999999</v>
      </c>
      <c r="H73" s="62">
        <v>92455</v>
      </c>
      <c r="I73" s="62">
        <v>651</v>
      </c>
      <c r="J73" s="63">
        <v>26.569900000000001</v>
      </c>
      <c r="L73" s="88">
        <f t="shared" si="9"/>
        <v>30</v>
      </c>
      <c r="M73" s="89">
        <v>4.6700981735855462</v>
      </c>
      <c r="N73" s="89">
        <v>2.9884893742718801</v>
      </c>
      <c r="O73" s="89">
        <v>1.8547078331165867</v>
      </c>
      <c r="P73" s="89">
        <v>2.0926489167515641</v>
      </c>
    </row>
    <row r="74" spans="1:16" x14ac:dyDescent="0.35">
      <c r="A74" s="64" t="s">
        <v>179</v>
      </c>
      <c r="B74" s="62">
        <v>89136</v>
      </c>
      <c r="C74" s="62">
        <v>968</v>
      </c>
      <c r="D74" s="63">
        <v>23.340599999999998</v>
      </c>
      <c r="E74" s="62">
        <v>94703</v>
      </c>
      <c r="F74" s="62">
        <v>414</v>
      </c>
      <c r="G74" s="63">
        <v>28.1112</v>
      </c>
      <c r="H74" s="62">
        <v>91853</v>
      </c>
      <c r="I74" s="62">
        <v>690</v>
      </c>
      <c r="J74" s="63">
        <v>25.7409</v>
      </c>
      <c r="L74" s="88">
        <f t="shared" si="9"/>
        <v>35</v>
      </c>
      <c r="M74" s="89">
        <v>6.5892144962719223</v>
      </c>
      <c r="N74" s="89">
        <v>4.0303649847952068</v>
      </c>
      <c r="O74" s="89">
        <v>3.0497965119214987</v>
      </c>
      <c r="P74" s="89">
        <v>2.8987222273061515</v>
      </c>
    </row>
    <row r="75" spans="1:16" x14ac:dyDescent="0.35">
      <c r="A75" s="64" t="s">
        <v>180</v>
      </c>
      <c r="B75" s="62">
        <v>88273</v>
      </c>
      <c r="C75" s="62">
        <v>1034</v>
      </c>
      <c r="D75" s="63">
        <v>22.5639</v>
      </c>
      <c r="E75" s="62">
        <v>94310</v>
      </c>
      <c r="F75" s="62">
        <v>441</v>
      </c>
      <c r="G75" s="63">
        <v>27.226199999999999</v>
      </c>
      <c r="H75" s="62">
        <v>91219</v>
      </c>
      <c r="I75" s="62">
        <v>735</v>
      </c>
      <c r="J75" s="63">
        <v>24.9162</v>
      </c>
      <c r="L75" s="88">
        <f t="shared" si="9"/>
        <v>40</v>
      </c>
      <c r="M75" s="89">
        <v>10.308749088743575</v>
      </c>
      <c r="N75" s="89">
        <v>6.3831319396948834</v>
      </c>
      <c r="O75" s="89">
        <v>5.125555859442299</v>
      </c>
      <c r="P75" s="89">
        <v>4.7083372948547444</v>
      </c>
    </row>
    <row r="76" spans="1:16" x14ac:dyDescent="0.35">
      <c r="A76" s="64" t="s">
        <v>181</v>
      </c>
      <c r="B76" s="62">
        <v>87360</v>
      </c>
      <c r="C76" s="62">
        <v>1099</v>
      </c>
      <c r="D76" s="63">
        <v>21.794499999999999</v>
      </c>
      <c r="E76" s="62">
        <v>93894</v>
      </c>
      <c r="F76" s="62">
        <v>472</v>
      </c>
      <c r="G76" s="63">
        <v>26.3445</v>
      </c>
      <c r="H76" s="62">
        <v>90549</v>
      </c>
      <c r="I76" s="62">
        <v>781</v>
      </c>
      <c r="J76" s="63">
        <v>24.096900000000002</v>
      </c>
      <c r="L76" s="88">
        <f t="shared" si="9"/>
        <v>45</v>
      </c>
      <c r="M76" s="89">
        <v>16.661652263225022</v>
      </c>
      <c r="N76" s="89">
        <v>11.903752079954375</v>
      </c>
      <c r="O76" s="89">
        <v>8.5933920480578685</v>
      </c>
      <c r="P76" s="89">
        <v>8.8801349281690456</v>
      </c>
    </row>
    <row r="77" spans="1:16" x14ac:dyDescent="0.35">
      <c r="A77" s="64" t="s">
        <v>182</v>
      </c>
      <c r="B77" s="62">
        <v>86400</v>
      </c>
      <c r="C77" s="62">
        <v>1143</v>
      </c>
      <c r="D77" s="63">
        <v>21.030999999999999</v>
      </c>
      <c r="E77" s="62">
        <v>93452</v>
      </c>
      <c r="F77" s="62">
        <v>503</v>
      </c>
      <c r="G77" s="63">
        <v>25.466899999999999</v>
      </c>
      <c r="H77" s="62">
        <v>89841</v>
      </c>
      <c r="I77" s="62">
        <v>818</v>
      </c>
      <c r="J77" s="63">
        <v>23.282699999999998</v>
      </c>
      <c r="L77" s="88">
        <f t="shared" si="9"/>
        <v>50</v>
      </c>
      <c r="M77" s="89">
        <v>27.895297679963683</v>
      </c>
      <c r="N77" s="89">
        <v>21.574232833585917</v>
      </c>
      <c r="O77" s="89">
        <v>13.227757751281155</v>
      </c>
      <c r="P77" s="89">
        <v>15.134312185632115</v>
      </c>
    </row>
    <row r="78" spans="1:16" x14ac:dyDescent="0.35">
      <c r="A78" s="64" t="s">
        <v>183</v>
      </c>
      <c r="B78" s="62">
        <v>85413</v>
      </c>
      <c r="C78" s="62">
        <v>1220</v>
      </c>
      <c r="D78" s="63">
        <v>20.2684</v>
      </c>
      <c r="E78" s="62">
        <v>92981</v>
      </c>
      <c r="F78" s="62">
        <v>530</v>
      </c>
      <c r="G78" s="63">
        <v>24.5932</v>
      </c>
      <c r="H78" s="62">
        <v>89106</v>
      </c>
      <c r="I78" s="62">
        <v>869</v>
      </c>
      <c r="J78" s="63">
        <v>22.470700000000001</v>
      </c>
      <c r="L78" s="88">
        <f t="shared" si="9"/>
        <v>55</v>
      </c>
      <c r="M78" s="89">
        <v>41.958345543146812</v>
      </c>
      <c r="N78" s="89">
        <v>37.817165442221857</v>
      </c>
      <c r="O78" s="89">
        <v>18.45279602010763</v>
      </c>
      <c r="P78" s="89">
        <v>23.770262023408602</v>
      </c>
    </row>
    <row r="79" spans="1:16" x14ac:dyDescent="0.35">
      <c r="A79" s="64" t="s">
        <v>184</v>
      </c>
      <c r="B79" s="62">
        <v>84371</v>
      </c>
      <c r="C79" s="62">
        <v>1294</v>
      </c>
      <c r="D79" s="63">
        <v>19.5124</v>
      </c>
      <c r="E79" s="62">
        <v>92488</v>
      </c>
      <c r="F79" s="62">
        <v>564</v>
      </c>
      <c r="G79" s="63">
        <v>23.721699999999998</v>
      </c>
      <c r="H79" s="62">
        <v>88332</v>
      </c>
      <c r="I79" s="62">
        <v>921</v>
      </c>
      <c r="J79" s="63">
        <v>21.6632</v>
      </c>
      <c r="L79" s="88">
        <f t="shared" si="9"/>
        <v>60</v>
      </c>
      <c r="M79" s="89">
        <v>56.563162008768209</v>
      </c>
      <c r="N79" s="89">
        <v>64.652352733082566</v>
      </c>
      <c r="O79" s="89">
        <v>24.854204220125077</v>
      </c>
      <c r="P79" s="89">
        <v>39.480735111313905</v>
      </c>
    </row>
    <row r="80" spans="1:16" x14ac:dyDescent="0.35">
      <c r="A80" s="64" t="s">
        <v>185</v>
      </c>
      <c r="B80" s="62">
        <v>83280</v>
      </c>
      <c r="C80" s="62">
        <v>1405</v>
      </c>
      <c r="D80" s="63">
        <v>18.761700000000001</v>
      </c>
      <c r="E80" s="62">
        <v>91966</v>
      </c>
      <c r="F80" s="62">
        <v>617</v>
      </c>
      <c r="G80" s="63">
        <v>22.853400000000001</v>
      </c>
      <c r="H80" s="62">
        <v>87519</v>
      </c>
      <c r="I80" s="62">
        <v>1001</v>
      </c>
      <c r="J80" s="63">
        <v>20.8599</v>
      </c>
      <c r="L80" s="88">
        <f t="shared" si="9"/>
        <v>65</v>
      </c>
      <c r="M80" s="89">
        <v>76.801152737752119</v>
      </c>
      <c r="N80" s="89">
        <v>105.47894148273329</v>
      </c>
      <c r="O80" s="89">
        <v>35.208664071504693</v>
      </c>
      <c r="P80" s="89">
        <v>68.450228836510604</v>
      </c>
    </row>
    <row r="81" spans="1:16" x14ac:dyDescent="0.35">
      <c r="A81" s="64" t="s">
        <v>186</v>
      </c>
      <c r="B81" s="62">
        <v>82110</v>
      </c>
      <c r="C81" s="62">
        <v>1460</v>
      </c>
      <c r="D81" s="63">
        <v>18.021899999999999</v>
      </c>
      <c r="E81" s="62">
        <v>91399</v>
      </c>
      <c r="F81" s="62">
        <v>653</v>
      </c>
      <c r="G81" s="63">
        <v>21.9922</v>
      </c>
      <c r="H81" s="62">
        <v>86643</v>
      </c>
      <c r="I81" s="62">
        <v>1044</v>
      </c>
      <c r="J81" s="63">
        <v>20.0657</v>
      </c>
      <c r="L81" s="88">
        <f t="shared" si="9"/>
        <v>70</v>
      </c>
      <c r="M81" s="89">
        <v>110.21799073929562</v>
      </c>
      <c r="N81" s="89">
        <v>168.78429295581017</v>
      </c>
      <c r="O81" s="89">
        <v>53.399152465963382</v>
      </c>
      <c r="P81" s="89">
        <v>122.53054611534672</v>
      </c>
    </row>
    <row r="82" spans="1:16" x14ac:dyDescent="0.35">
      <c r="A82" s="64" t="s">
        <v>187</v>
      </c>
      <c r="B82" s="62">
        <v>80911</v>
      </c>
      <c r="C82" s="62">
        <v>1586</v>
      </c>
      <c r="D82" s="63">
        <v>17.281400000000001</v>
      </c>
      <c r="E82" s="62">
        <v>90802</v>
      </c>
      <c r="F82" s="62">
        <v>705</v>
      </c>
      <c r="G82" s="63">
        <v>21.133500000000002</v>
      </c>
      <c r="H82" s="62">
        <v>85738</v>
      </c>
      <c r="I82" s="62">
        <v>1130</v>
      </c>
      <c r="J82" s="63">
        <v>19.272300000000001</v>
      </c>
      <c r="L82" s="88">
        <f t="shared" si="9"/>
        <v>75</v>
      </c>
      <c r="M82" s="89">
        <v>175.19368513375233</v>
      </c>
      <c r="N82" s="89">
        <v>278.42887287536144</v>
      </c>
      <c r="O82" s="89">
        <v>94.594594594594625</v>
      </c>
      <c r="P82" s="89">
        <v>221.95283490937805</v>
      </c>
    </row>
    <row r="83" spans="1:16" x14ac:dyDescent="0.35">
      <c r="A83" s="64" t="s">
        <v>188</v>
      </c>
      <c r="B83" s="62">
        <v>79628</v>
      </c>
      <c r="C83" s="62">
        <v>1695</v>
      </c>
      <c r="D83" s="63">
        <v>16.5519</v>
      </c>
      <c r="E83" s="62">
        <v>90162</v>
      </c>
      <c r="F83" s="62">
        <v>775</v>
      </c>
      <c r="G83" s="63">
        <v>20.279900000000001</v>
      </c>
      <c r="H83" s="62">
        <v>84769</v>
      </c>
      <c r="I83" s="62">
        <v>1218</v>
      </c>
      <c r="J83" s="63">
        <v>18.486899999999999</v>
      </c>
      <c r="L83" s="88">
        <f t="shared" si="9"/>
        <v>80</v>
      </c>
      <c r="M83" s="89">
        <v>290.68675232609667</v>
      </c>
      <c r="N83" s="89">
        <v>441.7283575622086</v>
      </c>
      <c r="O83" s="89">
        <v>181.62929844171217</v>
      </c>
      <c r="P83" s="89">
        <v>378.09131811360891</v>
      </c>
    </row>
    <row r="84" spans="1:16" x14ac:dyDescent="0.35">
      <c r="A84" s="64" t="s">
        <v>189</v>
      </c>
      <c r="B84" s="62">
        <v>78278</v>
      </c>
      <c r="C84" s="62">
        <v>1781</v>
      </c>
      <c r="D84" s="63">
        <v>15.8286</v>
      </c>
      <c r="E84" s="62">
        <v>89463</v>
      </c>
      <c r="F84" s="62">
        <v>821</v>
      </c>
      <c r="G84" s="63">
        <v>19.4344</v>
      </c>
      <c r="H84" s="62">
        <v>83736</v>
      </c>
      <c r="I84" s="62">
        <v>1281</v>
      </c>
      <c r="J84" s="63">
        <v>17.708600000000001</v>
      </c>
    </row>
    <row r="85" spans="1:16" x14ac:dyDescent="0.35">
      <c r="A85" s="64" t="s">
        <v>190</v>
      </c>
      <c r="B85" s="62">
        <v>76884</v>
      </c>
      <c r="C85" s="62">
        <v>1941</v>
      </c>
      <c r="D85" s="63">
        <v>15.1066</v>
      </c>
      <c r="E85" s="62">
        <v>88728</v>
      </c>
      <c r="F85" s="62">
        <v>882</v>
      </c>
      <c r="G85" s="63">
        <v>18.5913</v>
      </c>
      <c r="H85" s="62">
        <v>82664</v>
      </c>
      <c r="I85" s="62">
        <v>1387</v>
      </c>
      <c r="J85" s="63">
        <v>16.931899999999999</v>
      </c>
    </row>
    <row r="86" spans="1:16" x14ac:dyDescent="0.35">
      <c r="A86" s="64" t="s">
        <v>191</v>
      </c>
      <c r="B86" s="62">
        <v>75391</v>
      </c>
      <c r="C86" s="62">
        <v>2085</v>
      </c>
      <c r="D86" s="63">
        <v>14.395799999999999</v>
      </c>
      <c r="E86" s="62">
        <v>87945</v>
      </c>
      <c r="F86" s="62">
        <v>970</v>
      </c>
      <c r="G86" s="63">
        <v>17.752300000000002</v>
      </c>
      <c r="H86" s="62">
        <v>81518</v>
      </c>
      <c r="I86" s="62">
        <v>1498</v>
      </c>
      <c r="J86" s="63">
        <v>16.1629</v>
      </c>
    </row>
    <row r="87" spans="1:16" x14ac:dyDescent="0.35">
      <c r="A87" s="64" t="s">
        <v>192</v>
      </c>
      <c r="B87" s="62">
        <v>73819</v>
      </c>
      <c r="C87" s="62">
        <v>2308</v>
      </c>
      <c r="D87" s="63">
        <v>13.691700000000001</v>
      </c>
      <c r="E87" s="62">
        <v>87092</v>
      </c>
      <c r="F87" s="62">
        <v>1084</v>
      </c>
      <c r="G87" s="63">
        <v>16.921299999999999</v>
      </c>
      <c r="H87" s="62">
        <v>80296</v>
      </c>
      <c r="I87" s="62">
        <v>1660</v>
      </c>
      <c r="J87" s="63">
        <v>15.401199999999999</v>
      </c>
    </row>
    <row r="88" spans="1:16" x14ac:dyDescent="0.35">
      <c r="A88" s="64" t="s">
        <v>193</v>
      </c>
      <c r="B88" s="62">
        <v>72116</v>
      </c>
      <c r="C88" s="62">
        <v>2495</v>
      </c>
      <c r="D88" s="63">
        <v>13.003399999999999</v>
      </c>
      <c r="E88" s="62">
        <v>86148</v>
      </c>
      <c r="F88" s="62">
        <v>1212</v>
      </c>
      <c r="G88" s="63">
        <v>16.101299999999998</v>
      </c>
      <c r="H88" s="62">
        <v>78963</v>
      </c>
      <c r="I88" s="62">
        <v>1812</v>
      </c>
      <c r="J88" s="63">
        <v>14.652699999999999</v>
      </c>
    </row>
    <row r="89" spans="1:16" x14ac:dyDescent="0.35">
      <c r="A89" s="64" t="s">
        <v>194</v>
      </c>
      <c r="B89" s="62">
        <v>70316</v>
      </c>
      <c r="C89" s="62">
        <v>2711</v>
      </c>
      <c r="D89" s="63">
        <v>12.3233</v>
      </c>
      <c r="E89" s="62">
        <v>85104</v>
      </c>
      <c r="F89" s="62">
        <v>1310</v>
      </c>
      <c r="G89" s="63">
        <v>15.2927</v>
      </c>
      <c r="H89" s="62">
        <v>77533</v>
      </c>
      <c r="I89" s="62">
        <v>1960</v>
      </c>
      <c r="J89" s="63">
        <v>13.9139</v>
      </c>
    </row>
    <row r="90" spans="1:16" x14ac:dyDescent="0.35">
      <c r="A90" s="64" t="s">
        <v>195</v>
      </c>
      <c r="B90" s="62">
        <v>68410</v>
      </c>
      <c r="C90" s="62">
        <v>3029</v>
      </c>
      <c r="D90" s="63">
        <v>11.652799999999999</v>
      </c>
      <c r="E90" s="62">
        <v>83990</v>
      </c>
      <c r="F90" s="62">
        <v>1491</v>
      </c>
      <c r="G90" s="63">
        <v>14.489000000000001</v>
      </c>
      <c r="H90" s="62">
        <v>76013</v>
      </c>
      <c r="I90" s="62">
        <v>2200</v>
      </c>
      <c r="J90" s="63">
        <v>13.1821</v>
      </c>
    </row>
    <row r="91" spans="1:16" x14ac:dyDescent="0.35">
      <c r="A91" s="64" t="s">
        <v>196</v>
      </c>
      <c r="B91" s="62">
        <v>66337</v>
      </c>
      <c r="C91" s="62">
        <v>3336</v>
      </c>
      <c r="D91" s="63">
        <v>11.001200000000001</v>
      </c>
      <c r="E91" s="62">
        <v>82737</v>
      </c>
      <c r="F91" s="62">
        <v>1712</v>
      </c>
      <c r="G91" s="63">
        <v>13.700799999999999</v>
      </c>
      <c r="H91" s="62">
        <v>74340</v>
      </c>
      <c r="I91" s="62">
        <v>2454</v>
      </c>
      <c r="J91" s="63">
        <v>12.4674</v>
      </c>
    </row>
    <row r="92" spans="1:16" x14ac:dyDescent="0.35">
      <c r="A92" s="64" t="s">
        <v>197</v>
      </c>
      <c r="B92" s="62">
        <v>64124</v>
      </c>
      <c r="C92" s="62">
        <v>3696</v>
      </c>
      <c r="D92" s="63">
        <v>10.3636</v>
      </c>
      <c r="E92" s="62">
        <v>81321</v>
      </c>
      <c r="F92" s="62">
        <v>1931</v>
      </c>
      <c r="G92" s="63">
        <v>12.9306</v>
      </c>
      <c r="H92" s="62">
        <v>72516</v>
      </c>
      <c r="I92" s="62">
        <v>2730</v>
      </c>
      <c r="J92" s="63">
        <v>11.7684</v>
      </c>
    </row>
    <row r="93" spans="1:16" x14ac:dyDescent="0.35">
      <c r="A93" s="64" t="s">
        <v>198</v>
      </c>
      <c r="B93" s="62">
        <v>61755</v>
      </c>
      <c r="C93" s="62">
        <v>4144</v>
      </c>
      <c r="D93" s="63">
        <v>9.7421000000000006</v>
      </c>
      <c r="E93" s="62">
        <v>79750</v>
      </c>
      <c r="F93" s="62">
        <v>2173</v>
      </c>
      <c r="G93" s="63">
        <v>12.1755</v>
      </c>
      <c r="H93" s="62">
        <v>70536</v>
      </c>
      <c r="I93" s="62">
        <v>3056</v>
      </c>
      <c r="J93" s="63">
        <v>11.0847</v>
      </c>
    </row>
    <row r="94" spans="1:16" x14ac:dyDescent="0.35">
      <c r="A94" s="64" t="s">
        <v>199</v>
      </c>
      <c r="B94" s="62">
        <v>59196</v>
      </c>
      <c r="C94" s="62">
        <v>4681</v>
      </c>
      <c r="D94" s="63">
        <v>9.1417000000000002</v>
      </c>
      <c r="E94" s="62">
        <v>78017</v>
      </c>
      <c r="F94" s="62">
        <v>2528</v>
      </c>
      <c r="G94" s="63">
        <v>11.434799999999999</v>
      </c>
      <c r="H94" s="62">
        <v>68381</v>
      </c>
      <c r="I94" s="62">
        <v>3482</v>
      </c>
      <c r="J94" s="63">
        <v>10.4184</v>
      </c>
    </row>
    <row r="95" spans="1:16" x14ac:dyDescent="0.35">
      <c r="A95" s="64" t="s">
        <v>200</v>
      </c>
      <c r="B95" s="62">
        <v>56425</v>
      </c>
      <c r="C95" s="62">
        <v>5148</v>
      </c>
      <c r="D95" s="63">
        <v>8.5660000000000007</v>
      </c>
      <c r="E95" s="62">
        <v>76045</v>
      </c>
      <c r="F95" s="62">
        <v>2894</v>
      </c>
      <c r="G95" s="63">
        <v>10.718400000000001</v>
      </c>
      <c r="H95" s="62">
        <v>65999</v>
      </c>
      <c r="I95" s="62">
        <v>3880</v>
      </c>
      <c r="J95" s="63">
        <v>9.7763000000000009</v>
      </c>
    </row>
    <row r="96" spans="1:16" x14ac:dyDescent="0.35">
      <c r="A96" s="64" t="s">
        <v>201</v>
      </c>
      <c r="B96" s="62">
        <v>53520</v>
      </c>
      <c r="C96" s="62">
        <v>5808</v>
      </c>
      <c r="D96" s="63">
        <v>8.0038</v>
      </c>
      <c r="E96" s="62">
        <v>73844</v>
      </c>
      <c r="F96" s="62">
        <v>3359</v>
      </c>
      <c r="G96" s="63">
        <v>10.0229</v>
      </c>
      <c r="H96" s="62">
        <v>63438</v>
      </c>
      <c r="I96" s="62">
        <v>4417</v>
      </c>
      <c r="J96" s="63">
        <v>9.1508000000000003</v>
      </c>
    </row>
    <row r="97" spans="1:10" x14ac:dyDescent="0.35">
      <c r="A97" s="64" t="s">
        <v>202</v>
      </c>
      <c r="B97" s="62">
        <v>50411</v>
      </c>
      <c r="C97" s="62">
        <v>6566</v>
      </c>
      <c r="D97" s="63">
        <v>7.4664999999999999</v>
      </c>
      <c r="E97" s="62">
        <v>71364</v>
      </c>
      <c r="F97" s="62">
        <v>3829</v>
      </c>
      <c r="G97" s="63">
        <v>9.3538999999999994</v>
      </c>
      <c r="H97" s="62">
        <v>60636</v>
      </c>
      <c r="I97" s="62">
        <v>4994</v>
      </c>
      <c r="J97" s="63">
        <v>8.5504999999999995</v>
      </c>
    </row>
    <row r="98" spans="1:10" x14ac:dyDescent="0.35">
      <c r="A98" s="64" t="s">
        <v>203</v>
      </c>
      <c r="B98" s="62">
        <v>47101</v>
      </c>
      <c r="C98" s="62">
        <v>7388</v>
      </c>
      <c r="D98" s="63">
        <v>6.9561000000000002</v>
      </c>
      <c r="E98" s="62">
        <v>68632</v>
      </c>
      <c r="F98" s="62">
        <v>4455</v>
      </c>
      <c r="G98" s="63">
        <v>8.7064000000000004</v>
      </c>
      <c r="H98" s="62">
        <v>57608</v>
      </c>
      <c r="I98" s="62">
        <v>5683</v>
      </c>
      <c r="J98" s="63">
        <v>7.9737</v>
      </c>
    </row>
    <row r="99" spans="1:10" x14ac:dyDescent="0.35">
      <c r="A99" s="64" t="s">
        <v>204</v>
      </c>
      <c r="B99" s="62">
        <v>43621</v>
      </c>
      <c r="C99" s="62">
        <v>8250</v>
      </c>
      <c r="D99" s="63">
        <v>6.4711999999999996</v>
      </c>
      <c r="E99" s="62">
        <v>65574</v>
      </c>
      <c r="F99" s="62">
        <v>5096</v>
      </c>
      <c r="G99" s="63">
        <v>8.0890000000000004</v>
      </c>
      <c r="H99" s="62">
        <v>54334</v>
      </c>
      <c r="I99" s="62">
        <v>6393</v>
      </c>
      <c r="J99" s="63">
        <v>7.4240000000000004</v>
      </c>
    </row>
    <row r="100" spans="1:10" x14ac:dyDescent="0.35">
      <c r="A100" s="64" t="s">
        <v>205</v>
      </c>
      <c r="B100" s="62">
        <v>40023</v>
      </c>
      <c r="C100" s="62">
        <v>9249</v>
      </c>
      <c r="D100" s="63">
        <v>6.0080999999999998</v>
      </c>
      <c r="E100" s="62">
        <v>62233</v>
      </c>
      <c r="F100" s="62">
        <v>5896</v>
      </c>
      <c r="G100" s="63">
        <v>7.4965000000000002</v>
      </c>
      <c r="H100" s="62">
        <v>50861</v>
      </c>
      <c r="I100" s="62">
        <v>7247</v>
      </c>
      <c r="J100" s="63">
        <v>6.8967999999999998</v>
      </c>
    </row>
    <row r="101" spans="1:10" x14ac:dyDescent="0.35">
      <c r="A101" s="64" t="s">
        <v>206</v>
      </c>
      <c r="B101" s="62">
        <v>36321</v>
      </c>
      <c r="C101" s="62">
        <v>10458</v>
      </c>
      <c r="D101" s="63">
        <v>5.5693999999999999</v>
      </c>
      <c r="E101" s="62">
        <v>58563</v>
      </c>
      <c r="F101" s="62">
        <v>6792</v>
      </c>
      <c r="G101" s="63">
        <v>6.9348999999999998</v>
      </c>
      <c r="H101" s="62">
        <v>47175</v>
      </c>
      <c r="I101" s="62">
        <v>8237</v>
      </c>
      <c r="J101" s="63">
        <v>6.3966000000000003</v>
      </c>
    </row>
    <row r="102" spans="1:10" x14ac:dyDescent="0.35">
      <c r="A102" s="64" t="s">
        <v>207</v>
      </c>
      <c r="B102" s="62">
        <v>32523</v>
      </c>
      <c r="C102" s="62">
        <v>11648</v>
      </c>
      <c r="D102" s="63">
        <v>5.1615000000000002</v>
      </c>
      <c r="E102" s="62">
        <v>54586</v>
      </c>
      <c r="F102" s="62">
        <v>7774</v>
      </c>
      <c r="G102" s="63">
        <v>6.4038000000000004</v>
      </c>
      <c r="H102" s="62">
        <v>43289</v>
      </c>
      <c r="I102" s="62">
        <v>9264</v>
      </c>
      <c r="J102" s="63">
        <v>5.9259000000000004</v>
      </c>
    </row>
    <row r="103" spans="1:10" x14ac:dyDescent="0.35">
      <c r="A103" s="64" t="s">
        <v>208</v>
      </c>
      <c r="B103" s="62">
        <v>28734</v>
      </c>
      <c r="C103" s="62">
        <v>13133</v>
      </c>
      <c r="D103" s="63">
        <v>4.7760999999999996</v>
      </c>
      <c r="E103" s="62">
        <v>50342</v>
      </c>
      <c r="F103" s="62">
        <v>9024</v>
      </c>
      <c r="G103" s="63">
        <v>5.9015000000000004</v>
      </c>
      <c r="H103" s="62">
        <v>39279</v>
      </c>
      <c r="I103" s="62">
        <v>10563</v>
      </c>
      <c r="J103" s="63">
        <v>5.4798999999999998</v>
      </c>
    </row>
    <row r="104" spans="1:10" x14ac:dyDescent="0.35">
      <c r="A104" s="64" t="s">
        <v>209</v>
      </c>
      <c r="B104" s="62">
        <v>24961</v>
      </c>
      <c r="C104" s="62">
        <v>14610</v>
      </c>
      <c r="D104" s="63">
        <v>4.4226000000000001</v>
      </c>
      <c r="E104" s="62">
        <v>45799</v>
      </c>
      <c r="F104" s="62">
        <v>10318</v>
      </c>
      <c r="G104" s="63">
        <v>5.4371999999999998</v>
      </c>
      <c r="H104" s="62">
        <v>35130</v>
      </c>
      <c r="I104" s="62">
        <v>11880</v>
      </c>
      <c r="J104" s="63">
        <v>5.0681000000000003</v>
      </c>
    </row>
    <row r="105" spans="1:10" x14ac:dyDescent="0.35">
      <c r="A105" s="64" t="s">
        <v>210</v>
      </c>
      <c r="B105" s="62">
        <v>21314</v>
      </c>
      <c r="C105" s="62">
        <v>16321</v>
      </c>
      <c r="D105" s="63">
        <v>4.0937000000000001</v>
      </c>
      <c r="E105" s="62">
        <v>41073</v>
      </c>
      <c r="F105" s="62">
        <v>11846</v>
      </c>
      <c r="G105" s="63">
        <v>5.0053000000000001</v>
      </c>
      <c r="H105" s="62">
        <v>30956</v>
      </c>
      <c r="I105" s="62">
        <v>13424</v>
      </c>
      <c r="J105" s="63">
        <v>4.6839000000000004</v>
      </c>
    </row>
    <row r="106" spans="1:10" x14ac:dyDescent="0.35">
      <c r="A106" s="64" t="s">
        <v>211</v>
      </c>
      <c r="B106" s="62">
        <v>17835</v>
      </c>
      <c r="C106" s="62">
        <v>18082</v>
      </c>
      <c r="D106" s="63">
        <v>3.7946</v>
      </c>
      <c r="E106" s="62">
        <v>36208</v>
      </c>
      <c r="F106" s="62">
        <v>13438</v>
      </c>
      <c r="G106" s="63">
        <v>4.6108000000000002</v>
      </c>
      <c r="H106" s="62">
        <v>26801</v>
      </c>
      <c r="I106" s="62">
        <v>15020</v>
      </c>
      <c r="J106" s="63">
        <v>4.3327</v>
      </c>
    </row>
    <row r="107" spans="1:10" x14ac:dyDescent="0.35">
      <c r="A107" s="64" t="s">
        <v>212</v>
      </c>
      <c r="B107" s="62">
        <v>14610</v>
      </c>
      <c r="C107" s="62">
        <v>19633</v>
      </c>
      <c r="D107" s="63">
        <v>3.5217999999999998</v>
      </c>
      <c r="E107" s="62">
        <v>31342</v>
      </c>
      <c r="F107" s="62">
        <v>14940</v>
      </c>
      <c r="G107" s="63">
        <v>4.2488999999999999</v>
      </c>
      <c r="H107" s="62">
        <v>22775</v>
      </c>
      <c r="I107" s="62">
        <v>16481</v>
      </c>
      <c r="J107" s="63">
        <v>4.0101000000000004</v>
      </c>
    </row>
    <row r="108" spans="1:10" x14ac:dyDescent="0.35">
      <c r="A108" s="64" t="s">
        <v>213</v>
      </c>
      <c r="B108" s="62">
        <v>11742</v>
      </c>
      <c r="C108" s="62">
        <v>21292</v>
      </c>
      <c r="D108" s="63">
        <v>3.26</v>
      </c>
      <c r="E108" s="62">
        <v>26659</v>
      </c>
      <c r="F108" s="62">
        <v>16686</v>
      </c>
      <c r="G108" s="63">
        <v>3.9074</v>
      </c>
      <c r="H108" s="62">
        <v>19022</v>
      </c>
      <c r="I108" s="62">
        <v>18142</v>
      </c>
      <c r="J108" s="63">
        <v>3.7027999999999999</v>
      </c>
    </row>
    <row r="109" spans="1:10" x14ac:dyDescent="0.35">
      <c r="A109" s="64" t="s">
        <v>214</v>
      </c>
      <c r="B109" s="62">
        <v>9242</v>
      </c>
      <c r="C109" s="62">
        <v>23865</v>
      </c>
      <c r="D109" s="63">
        <v>3.0066999999999999</v>
      </c>
      <c r="E109" s="62">
        <v>22211</v>
      </c>
      <c r="F109" s="62">
        <v>18771</v>
      </c>
      <c r="G109" s="63">
        <v>3.5897999999999999</v>
      </c>
      <c r="H109" s="62">
        <v>15571</v>
      </c>
      <c r="I109" s="62">
        <v>20319</v>
      </c>
      <c r="J109" s="63">
        <v>3.4125999999999999</v>
      </c>
    </row>
    <row r="110" spans="1:10" x14ac:dyDescent="0.35">
      <c r="A110" s="64" t="s">
        <v>215</v>
      </c>
      <c r="B110" s="62">
        <v>7036</v>
      </c>
      <c r="C110" s="62">
        <v>26289</v>
      </c>
      <c r="D110" s="63">
        <v>2.7924000000000002</v>
      </c>
      <c r="E110" s="62">
        <v>18042</v>
      </c>
      <c r="F110" s="62">
        <v>20784</v>
      </c>
      <c r="G110" s="63">
        <v>3.3037999999999998</v>
      </c>
      <c r="H110" s="62">
        <v>12407</v>
      </c>
      <c r="I110" s="62">
        <v>22383</v>
      </c>
      <c r="J110" s="63">
        <v>3.1553</v>
      </c>
    </row>
    <row r="111" spans="1:10" x14ac:dyDescent="0.35">
      <c r="A111" s="64" t="s">
        <v>216</v>
      </c>
      <c r="B111" s="62">
        <v>5186</v>
      </c>
      <c r="C111" s="62">
        <v>28502</v>
      </c>
      <c r="D111" s="63">
        <v>2.6101000000000001</v>
      </c>
      <c r="E111" s="62">
        <v>14292</v>
      </c>
      <c r="F111" s="62">
        <v>23301</v>
      </c>
      <c r="G111" s="63">
        <v>3.0394000000000001</v>
      </c>
      <c r="H111" s="62">
        <v>9630</v>
      </c>
      <c r="I111" s="62">
        <v>24735</v>
      </c>
      <c r="J111" s="63">
        <v>2.9209999999999998</v>
      </c>
    </row>
    <row r="112" spans="1:10" x14ac:dyDescent="0.35">
      <c r="A112" s="64" t="s">
        <v>217</v>
      </c>
      <c r="B112" s="62">
        <v>3708</v>
      </c>
      <c r="C112" s="62">
        <v>31054</v>
      </c>
      <c r="D112" s="63">
        <v>2.4512</v>
      </c>
      <c r="E112" s="62">
        <v>10962</v>
      </c>
      <c r="F112" s="62">
        <v>25776</v>
      </c>
      <c r="G112" s="63">
        <v>2.8109000000000002</v>
      </c>
      <c r="H112" s="62">
        <v>7248</v>
      </c>
      <c r="I112" s="62">
        <v>27158</v>
      </c>
      <c r="J112" s="63">
        <v>2.7166999999999999</v>
      </c>
    </row>
    <row r="113" spans="1:22" x14ac:dyDescent="0.35">
      <c r="A113" s="64" t="s">
        <v>218</v>
      </c>
      <c r="B113" s="62">
        <v>2557</v>
      </c>
      <c r="C113" s="62">
        <v>33277</v>
      </c>
      <c r="D113" s="63">
        <v>2.33</v>
      </c>
      <c r="E113" s="62">
        <v>8136</v>
      </c>
      <c r="F113" s="62">
        <v>27619</v>
      </c>
      <c r="G113" s="63">
        <v>2.6133999999999999</v>
      </c>
      <c r="H113" s="62">
        <v>5280</v>
      </c>
      <c r="I113" s="62">
        <v>29022</v>
      </c>
      <c r="J113" s="63">
        <v>2.5430999999999999</v>
      </c>
    </row>
    <row r="114" spans="1:22" x14ac:dyDescent="0.35">
      <c r="A114" s="64" t="s">
        <v>219</v>
      </c>
      <c r="B114" s="62">
        <v>1706</v>
      </c>
      <c r="C114" s="62">
        <v>35653</v>
      </c>
      <c r="D114" s="63">
        <v>2.2427000000000001</v>
      </c>
      <c r="E114" s="62">
        <v>5889</v>
      </c>
      <c r="F114" s="62">
        <v>29977</v>
      </c>
      <c r="G114" s="63">
        <v>2.4198</v>
      </c>
      <c r="H114" s="62">
        <v>3747</v>
      </c>
      <c r="I114" s="62">
        <v>31300</v>
      </c>
      <c r="J114" s="63">
        <v>2.3784999999999998</v>
      </c>
    </row>
    <row r="115" spans="1:22" x14ac:dyDescent="0.35">
      <c r="A115" s="65"/>
      <c r="B115" s="66"/>
      <c r="C115" s="66"/>
      <c r="D115" s="67"/>
      <c r="E115" s="66"/>
      <c r="F115" s="66"/>
      <c r="G115" s="67"/>
      <c r="H115" s="66"/>
      <c r="I115" s="66"/>
      <c r="J115" s="67"/>
    </row>
    <row r="117" spans="1:22" x14ac:dyDescent="0.35">
      <c r="A117" s="68" t="s">
        <v>220</v>
      </c>
    </row>
    <row r="118" spans="1:22" x14ac:dyDescent="0.35">
      <c r="A118" s="68" t="s">
        <v>221</v>
      </c>
    </row>
    <row r="119" spans="1:22" x14ac:dyDescent="0.35">
      <c r="L119" s="103"/>
      <c r="M119" s="103"/>
      <c r="N119" s="103" t="s">
        <v>229</v>
      </c>
      <c r="O119" s="103"/>
      <c r="P119" s="83"/>
      <c r="R119" s="86"/>
      <c r="S119" s="86"/>
      <c r="T119" s="86" t="s">
        <v>230</v>
      </c>
      <c r="U119" s="86"/>
      <c r="V119" s="83"/>
    </row>
    <row r="120" spans="1:22" x14ac:dyDescent="0.35">
      <c r="A120" s="43" t="s">
        <v>222</v>
      </c>
      <c r="L120" s="103"/>
      <c r="M120" s="104" t="s">
        <v>246</v>
      </c>
      <c r="N120" s="105" t="s">
        <v>247</v>
      </c>
      <c r="O120" s="104" t="s">
        <v>235</v>
      </c>
      <c r="P120" s="107"/>
      <c r="R120" s="86"/>
      <c r="S120" s="87" t="s">
        <v>246</v>
      </c>
      <c r="T120" s="102" t="s">
        <v>247</v>
      </c>
      <c r="U120" s="87" t="s">
        <v>235</v>
      </c>
      <c r="V120" s="107"/>
    </row>
    <row r="121" spans="1:22" x14ac:dyDescent="0.35">
      <c r="L121" s="106">
        <v>0</v>
      </c>
      <c r="M121" s="10">
        <v>13.260937901608639</v>
      </c>
      <c r="N121" s="10">
        <v>5.387791200826765</v>
      </c>
      <c r="O121" s="10">
        <v>3.72</v>
      </c>
      <c r="P121" s="108"/>
      <c r="R121" s="88">
        <v>0</v>
      </c>
      <c r="S121" s="89">
        <v>9.397689309538455</v>
      </c>
      <c r="T121" s="89">
        <v>3.488602729562118</v>
      </c>
      <c r="U121" s="89">
        <v>3.11</v>
      </c>
      <c r="V121" s="108"/>
    </row>
    <row r="122" spans="1:22" x14ac:dyDescent="0.35">
      <c r="L122" s="106">
        <v>1</v>
      </c>
      <c r="M122" s="10">
        <v>1.1358673630324048</v>
      </c>
      <c r="N122" s="10">
        <v>0.33730980850248593</v>
      </c>
      <c r="O122" s="10">
        <v>0.72268840085121244</v>
      </c>
      <c r="P122" s="108"/>
      <c r="R122" s="88">
        <v>1</v>
      </c>
      <c r="S122" s="89">
        <v>0.85287166819828963</v>
      </c>
      <c r="T122" s="89">
        <v>0.23886115826656826</v>
      </c>
      <c r="U122" s="89">
        <v>0.60187182136439699</v>
      </c>
      <c r="V122" s="108"/>
    </row>
    <row r="123" spans="1:22" x14ac:dyDescent="0.35">
      <c r="L123" s="106">
        <v>5</v>
      </c>
      <c r="M123" s="10">
        <v>0.88520878127779246</v>
      </c>
      <c r="N123" s="10">
        <v>0.47124966757910641</v>
      </c>
      <c r="O123" s="10">
        <v>0.46205150869860212</v>
      </c>
      <c r="P123" s="108"/>
      <c r="R123" s="88">
        <v>5</v>
      </c>
      <c r="S123" s="89">
        <v>0.49739062119942573</v>
      </c>
      <c r="T123" s="89">
        <v>0.25216009398065364</v>
      </c>
      <c r="U123" s="89">
        <v>0.37137781168128381</v>
      </c>
      <c r="V123" s="108"/>
    </row>
    <row r="124" spans="1:22" x14ac:dyDescent="0.35">
      <c r="L124" s="106">
        <f t="shared" ref="L124:L138" si="10">L123+5</f>
        <v>10</v>
      </c>
      <c r="M124" s="10">
        <v>0.97957714436157894</v>
      </c>
      <c r="N124" s="10">
        <v>0.67578314697889874</v>
      </c>
      <c r="O124" s="10">
        <v>0.53260978796099145</v>
      </c>
      <c r="P124" s="108"/>
      <c r="R124" s="88">
        <f t="shared" ref="R124:R138" si="11">R123+5</f>
        <v>10</v>
      </c>
      <c r="S124" s="89">
        <v>0.50797950984875451</v>
      </c>
      <c r="T124" s="89">
        <v>0.35955079227556108</v>
      </c>
      <c r="U124" s="89">
        <v>0.41167965298416487</v>
      </c>
      <c r="V124" s="108"/>
    </row>
    <row r="125" spans="1:22" x14ac:dyDescent="0.35">
      <c r="L125" s="106">
        <f t="shared" si="10"/>
        <v>15</v>
      </c>
      <c r="M125" s="10">
        <v>2.1147847267220143</v>
      </c>
      <c r="N125" s="10">
        <v>1.8260212803835745</v>
      </c>
      <c r="O125" s="10">
        <v>2.0209738882129846</v>
      </c>
      <c r="P125" s="108"/>
      <c r="R125" s="88">
        <f t="shared" si="11"/>
        <v>15</v>
      </c>
      <c r="S125" s="89">
        <v>0.99474012764581188</v>
      </c>
      <c r="T125" s="89">
        <v>0.87459703859431071</v>
      </c>
      <c r="U125" s="89">
        <v>0.84378861086276125</v>
      </c>
      <c r="V125" s="108"/>
    </row>
    <row r="126" spans="1:22" x14ac:dyDescent="0.35">
      <c r="L126" s="106">
        <f t="shared" si="10"/>
        <v>20</v>
      </c>
      <c r="M126" s="10">
        <v>2.8460441007199107</v>
      </c>
      <c r="N126" s="10">
        <v>2.5169850141602255</v>
      </c>
      <c r="O126" s="10">
        <v>3.5363101474973346</v>
      </c>
      <c r="P126" s="108"/>
      <c r="R126" s="88">
        <f t="shared" si="11"/>
        <v>20</v>
      </c>
      <c r="S126" s="89">
        <v>1.4418660959600234</v>
      </c>
      <c r="T126" s="89">
        <v>1.3774468442762289</v>
      </c>
      <c r="U126" s="89">
        <v>1.1963766877456372</v>
      </c>
      <c r="V126" s="108"/>
    </row>
    <row r="127" spans="1:22" x14ac:dyDescent="0.35">
      <c r="L127" s="106">
        <f t="shared" si="10"/>
        <v>25</v>
      </c>
      <c r="M127" s="10">
        <v>2.8442199672980908</v>
      </c>
      <c r="N127" s="10">
        <v>2.6657507065011328</v>
      </c>
      <c r="O127" s="10">
        <v>4.1049491936706595</v>
      </c>
      <c r="P127" s="108"/>
      <c r="R127" s="88">
        <f t="shared" si="11"/>
        <v>25</v>
      </c>
      <c r="S127" s="89">
        <v>1.7706985985217667</v>
      </c>
      <c r="T127" s="89">
        <v>1.7404854089994652</v>
      </c>
      <c r="U127" s="89">
        <v>1.4192535330354028</v>
      </c>
      <c r="V127" s="108"/>
    </row>
    <row r="128" spans="1:22" x14ac:dyDescent="0.35">
      <c r="L128" s="106">
        <f t="shared" si="10"/>
        <v>30</v>
      </c>
      <c r="M128" s="10">
        <v>3.2543745603249166</v>
      </c>
      <c r="N128" s="10">
        <v>2.9884893742718801</v>
      </c>
      <c r="O128" s="10">
        <v>4.6700981735855462</v>
      </c>
      <c r="P128" s="108"/>
      <c r="R128" s="88">
        <f t="shared" si="11"/>
        <v>30</v>
      </c>
      <c r="S128" s="89">
        <v>2.1426414259168745</v>
      </c>
      <c r="T128" s="89">
        <v>2.0926489167515641</v>
      </c>
      <c r="U128" s="89">
        <v>1.8547078331165867</v>
      </c>
      <c r="V128" s="108"/>
    </row>
    <row r="129" spans="12:22" x14ac:dyDescent="0.35">
      <c r="L129" s="106">
        <f t="shared" si="10"/>
        <v>35</v>
      </c>
      <c r="M129" s="10">
        <v>4.2294498501373186</v>
      </c>
      <c r="N129" s="10">
        <v>4.0303649847952068</v>
      </c>
      <c r="O129" s="10">
        <v>6.5892144962719223</v>
      </c>
      <c r="P129" s="108"/>
      <c r="R129" s="88">
        <f t="shared" si="11"/>
        <v>35</v>
      </c>
      <c r="S129" s="89">
        <v>3.0647984742901437</v>
      </c>
      <c r="T129" s="89">
        <v>2.8987222273061515</v>
      </c>
      <c r="U129" s="89">
        <v>3.0497965119214987</v>
      </c>
      <c r="V129" s="108"/>
    </row>
    <row r="130" spans="12:22" x14ac:dyDescent="0.35">
      <c r="L130" s="106">
        <f t="shared" si="10"/>
        <v>40</v>
      </c>
      <c r="M130" s="10">
        <v>6.9345224727214365</v>
      </c>
      <c r="N130" s="10">
        <v>6.3831319396948834</v>
      </c>
      <c r="O130" s="10">
        <v>10.308749088743575</v>
      </c>
      <c r="P130" s="108"/>
      <c r="R130" s="88">
        <f t="shared" si="11"/>
        <v>40</v>
      </c>
      <c r="S130" s="89">
        <v>4.6689031475384351</v>
      </c>
      <c r="T130" s="89">
        <v>4.7083372948547444</v>
      </c>
      <c r="U130" s="89">
        <v>5.125555859442299</v>
      </c>
      <c r="V130" s="108"/>
    </row>
    <row r="131" spans="12:22" x14ac:dyDescent="0.35">
      <c r="L131" s="106">
        <f t="shared" si="10"/>
        <v>45</v>
      </c>
      <c r="M131" s="10">
        <v>12.762883417241436</v>
      </c>
      <c r="N131" s="10">
        <v>11.903752079954375</v>
      </c>
      <c r="O131" s="10">
        <v>16.661652263225022</v>
      </c>
      <c r="P131" s="108"/>
      <c r="R131" s="88">
        <f t="shared" si="11"/>
        <v>45</v>
      </c>
      <c r="S131" s="89">
        <v>8.4474745900813346</v>
      </c>
      <c r="T131" s="89">
        <v>8.8801349281690456</v>
      </c>
      <c r="U131" s="89">
        <v>8.5933920480578685</v>
      </c>
      <c r="V131" s="108"/>
    </row>
    <row r="132" spans="12:22" x14ac:dyDescent="0.35">
      <c r="L132" s="106">
        <f t="shared" si="10"/>
        <v>50</v>
      </c>
      <c r="M132" s="10">
        <v>22.573242606899814</v>
      </c>
      <c r="N132" s="10">
        <v>21.574232833585917</v>
      </c>
      <c r="O132" s="10">
        <v>27.895297679963683</v>
      </c>
      <c r="P132" s="108"/>
      <c r="R132" s="88">
        <f t="shared" si="11"/>
        <v>50</v>
      </c>
      <c r="S132" s="89">
        <v>14.268812580037451</v>
      </c>
      <c r="T132" s="89">
        <v>15.134312185632115</v>
      </c>
      <c r="U132" s="89">
        <v>13.227757751281155</v>
      </c>
      <c r="V132" s="108"/>
    </row>
    <row r="133" spans="12:22" x14ac:dyDescent="0.35">
      <c r="L133" s="106">
        <f t="shared" si="10"/>
        <v>55</v>
      </c>
      <c r="M133" s="10">
        <v>38.218737562266696</v>
      </c>
      <c r="N133" s="10">
        <v>37.817165442221857</v>
      </c>
      <c r="O133" s="10">
        <v>41.958345543146812</v>
      </c>
      <c r="P133" s="108"/>
      <c r="R133" s="88">
        <f t="shared" si="11"/>
        <v>55</v>
      </c>
      <c r="S133" s="89">
        <v>23.140835429718368</v>
      </c>
      <c r="T133" s="89">
        <v>23.770262023408602</v>
      </c>
      <c r="U133" s="89">
        <v>18.45279602010763</v>
      </c>
      <c r="V133" s="108"/>
    </row>
    <row r="134" spans="12:22" x14ac:dyDescent="0.35">
      <c r="L134" s="106">
        <f t="shared" si="10"/>
        <v>60</v>
      </c>
      <c r="M134" s="10">
        <v>65.772957191810065</v>
      </c>
      <c r="N134" s="10">
        <v>64.652352733082566</v>
      </c>
      <c r="O134" s="10">
        <v>56.563162008768209</v>
      </c>
      <c r="P134" s="108"/>
      <c r="R134" s="88">
        <f t="shared" si="11"/>
        <v>60</v>
      </c>
      <c r="S134" s="89">
        <v>40.820070990752804</v>
      </c>
      <c r="T134" s="89">
        <v>39.480735111313905</v>
      </c>
      <c r="U134" s="89">
        <v>24.854204220125077</v>
      </c>
      <c r="V134" s="108"/>
    </row>
    <row r="135" spans="12:22" x14ac:dyDescent="0.35">
      <c r="L135" s="106">
        <f t="shared" si="10"/>
        <v>65</v>
      </c>
      <c r="M135" s="10">
        <v>113.84894333304437</v>
      </c>
      <c r="N135" s="10">
        <v>105.47894148273329</v>
      </c>
      <c r="O135" s="10">
        <v>76.801152737752119</v>
      </c>
      <c r="P135" s="108"/>
      <c r="R135" s="88">
        <f t="shared" si="11"/>
        <v>65</v>
      </c>
      <c r="S135" s="89">
        <v>72.768501760264712</v>
      </c>
      <c r="T135" s="89">
        <v>68.450228836510604</v>
      </c>
      <c r="U135" s="89">
        <v>35.208664071504693</v>
      </c>
      <c r="V135" s="108"/>
    </row>
    <row r="136" spans="12:22" x14ac:dyDescent="0.35">
      <c r="L136" s="106">
        <f t="shared" si="10"/>
        <v>70</v>
      </c>
      <c r="M136" s="10">
        <v>180.1986354357347</v>
      </c>
      <c r="N136" s="10">
        <v>168.78429295581017</v>
      </c>
      <c r="O136" s="10">
        <v>110.21799073929562</v>
      </c>
      <c r="P136" s="108"/>
      <c r="R136" s="88">
        <f t="shared" si="11"/>
        <v>70</v>
      </c>
      <c r="S136" s="89">
        <v>137.89640073921726</v>
      </c>
      <c r="T136" s="89">
        <v>122.53054611534672</v>
      </c>
      <c r="U136" s="89">
        <v>53.399152465963382</v>
      </c>
      <c r="V136" s="108"/>
    </row>
    <row r="137" spans="12:22" x14ac:dyDescent="0.35">
      <c r="L137" s="106">
        <f t="shared" si="10"/>
        <v>75</v>
      </c>
      <c r="M137" s="10">
        <v>298.63526220945806</v>
      </c>
      <c r="N137" s="10">
        <v>278.42887287536144</v>
      </c>
      <c r="O137" s="10">
        <v>175.19368513375233</v>
      </c>
      <c r="P137" s="108"/>
      <c r="R137" s="88">
        <f t="shared" si="11"/>
        <v>75</v>
      </c>
      <c r="S137" s="89">
        <v>249.24967251629243</v>
      </c>
      <c r="T137" s="89">
        <v>221.95283490937805</v>
      </c>
      <c r="U137" s="89">
        <v>94.594594594594625</v>
      </c>
      <c r="V137" s="108"/>
    </row>
    <row r="138" spans="12:22" x14ac:dyDescent="0.35">
      <c r="L138" s="106">
        <f t="shared" si="10"/>
        <v>80</v>
      </c>
      <c r="M138" s="10">
        <v>481.18308038510634</v>
      </c>
      <c r="N138" s="10">
        <v>441.7283575622086</v>
      </c>
      <c r="O138" s="10">
        <v>290.68675232609667</v>
      </c>
      <c r="P138" s="108"/>
      <c r="R138" s="88">
        <f t="shared" si="11"/>
        <v>80</v>
      </c>
      <c r="S138" s="89">
        <v>419.33514051748978</v>
      </c>
      <c r="T138" s="89">
        <v>378.09131811360891</v>
      </c>
      <c r="U138" s="89">
        <v>181.62929844171217</v>
      </c>
      <c r="V138" s="108"/>
    </row>
  </sheetData>
  <mergeCells count="4">
    <mergeCell ref="B5:J5"/>
    <mergeCell ref="B9:D9"/>
    <mergeCell ref="E9:G9"/>
    <mergeCell ref="H9: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"/>
  <sheetViews>
    <sheetView workbookViewId="0">
      <selection activeCell="B3" sqref="B3:B24"/>
    </sheetView>
  </sheetViews>
  <sheetFormatPr baseColWidth="10" defaultColWidth="11.6328125" defaultRowHeight="12.5" x14ac:dyDescent="0.25"/>
  <cols>
    <col min="1" max="16384" width="11.6328125" style="109"/>
  </cols>
  <sheetData>
    <row r="1" spans="1:10" ht="13" x14ac:dyDescent="0.3">
      <c r="B1" s="114" t="s">
        <v>248</v>
      </c>
    </row>
    <row r="2" spans="1:10" ht="15.5" x14ac:dyDescent="0.4">
      <c r="A2" s="123" t="s">
        <v>292</v>
      </c>
      <c r="B2" s="110" t="s">
        <v>297</v>
      </c>
      <c r="C2" s="110" t="s">
        <v>301</v>
      </c>
      <c r="D2" s="110" t="s">
        <v>302</v>
      </c>
      <c r="E2" s="110" t="s">
        <v>249</v>
      </c>
      <c r="F2" s="110" t="s">
        <v>283</v>
      </c>
      <c r="G2" s="109" t="s">
        <v>285</v>
      </c>
      <c r="I2" s="109" t="s">
        <v>286</v>
      </c>
    </row>
    <row r="3" spans="1:10" x14ac:dyDescent="0.25">
      <c r="A3" s="109">
        <v>0</v>
      </c>
      <c r="B3" s="109">
        <v>100000</v>
      </c>
      <c r="C3" s="111">
        <f>B3/B$3</f>
        <v>1</v>
      </c>
      <c r="D3" s="112"/>
      <c r="E3" s="110" t="s">
        <v>250</v>
      </c>
      <c r="F3" s="110" t="s">
        <v>284</v>
      </c>
      <c r="H3" s="110" t="s">
        <v>234</v>
      </c>
      <c r="I3" s="110"/>
      <c r="J3" s="110" t="s">
        <v>234</v>
      </c>
    </row>
    <row r="4" spans="1:10" x14ac:dyDescent="0.25">
      <c r="A4" s="109">
        <v>1</v>
      </c>
      <c r="B4" s="109">
        <v>99628</v>
      </c>
      <c r="C4" s="111">
        <f t="shared" ref="C4:C24" si="0">B4/B$3</f>
        <v>0.99628000000000005</v>
      </c>
      <c r="D4" s="112">
        <f>0.5*LN(C4/(1-C4))</f>
        <v>2.7951523371447311</v>
      </c>
      <c r="E4" s="111">
        <v>0.8669</v>
      </c>
      <c r="F4" s="111">
        <v>3.0406486164291291</v>
      </c>
      <c r="G4" s="111">
        <f>E$26+E$27*E4</f>
        <v>2.8001284078785336</v>
      </c>
      <c r="H4" s="81">
        <f>((EXP(2*G4))/(1+EXP(2*G4)))</f>
        <v>0.99631670266535644</v>
      </c>
      <c r="I4" s="111">
        <f>F$26+F$27*F4</f>
        <v>2.8389624891412728</v>
      </c>
      <c r="J4" s="81">
        <f>((EXP(2*I4))/(1+EXP(2*I4)))</f>
        <v>0.99659101194630484</v>
      </c>
    </row>
    <row r="5" spans="1:10" x14ac:dyDescent="0.25">
      <c r="A5" s="109">
        <v>5</v>
      </c>
      <c r="B5" s="109">
        <v>99556</v>
      </c>
      <c r="C5" s="111">
        <f t="shared" si="0"/>
        <v>0.99556</v>
      </c>
      <c r="D5" s="112">
        <f>0.5*LN(C5/(1-C5))</f>
        <v>2.7063255082321866</v>
      </c>
      <c r="E5" s="111">
        <v>0.60160000000000002</v>
      </c>
      <c r="F5" s="111">
        <v>2.8817936828672992</v>
      </c>
      <c r="G5" s="111">
        <f t="shared" ref="G5:G21" si="1">E$26+E$27*E5</f>
        <v>2.4447165940063162</v>
      </c>
      <c r="H5" s="81">
        <f t="shared" ref="H5:H21" si="2">((EXP(2*G5))/(1+EXP(2*G5)))</f>
        <v>0.99253052600683078</v>
      </c>
      <c r="I5" s="111">
        <f t="shared" ref="I5:I24" si="3">F$26+F$27*F5</f>
        <v>2.6868855921244466</v>
      </c>
      <c r="J5" s="81">
        <f t="shared" ref="J5:J24" si="4">((EXP(2*I5))/(1+EXP(2*I5)))</f>
        <v>0.99538478618219317</v>
      </c>
    </row>
    <row r="6" spans="1:10" x14ac:dyDescent="0.25">
      <c r="A6" s="109">
        <v>10</v>
      </c>
      <c r="B6" s="109">
        <v>99510</v>
      </c>
      <c r="C6" s="111">
        <f t="shared" si="0"/>
        <v>0.99509999999999998</v>
      </c>
      <c r="D6" s="112">
        <f t="shared" ref="D6:D24" si="5">0.5*LN(C6/(1-C6))</f>
        <v>2.6568040147522662</v>
      </c>
      <c r="E6" s="111">
        <v>0.54979999999999996</v>
      </c>
      <c r="F6" s="111">
        <v>2.8033127086906195</v>
      </c>
      <c r="G6" s="111">
        <f t="shared" si="1"/>
        <v>2.3753222029072552</v>
      </c>
      <c r="H6" s="81">
        <f t="shared" si="2"/>
        <v>0.9914279928217159</v>
      </c>
      <c r="I6" s="111">
        <f t="shared" si="3"/>
        <v>2.6117532511889872</v>
      </c>
      <c r="J6" s="81">
        <f t="shared" si="4"/>
        <v>0.99464047773963882</v>
      </c>
    </row>
    <row r="7" spans="1:10" x14ac:dyDescent="0.25">
      <c r="A7" s="109">
        <v>15</v>
      </c>
      <c r="B7" s="109">
        <v>99457</v>
      </c>
      <c r="C7" s="111">
        <f t="shared" si="0"/>
        <v>0.99456999999999995</v>
      </c>
      <c r="D7" s="112">
        <f t="shared" si="5"/>
        <v>2.6051856745001638</v>
      </c>
      <c r="E7" s="111">
        <v>0.51319999999999999</v>
      </c>
      <c r="F7" s="111">
        <v>2.7378302622375039</v>
      </c>
      <c r="G7" s="111">
        <f t="shared" si="1"/>
        <v>2.3262906447175711</v>
      </c>
      <c r="H7" s="81">
        <f t="shared" si="2"/>
        <v>0.99055314174258935</v>
      </c>
      <c r="I7" s="111">
        <f t="shared" si="3"/>
        <v>2.5490648156309925</v>
      </c>
      <c r="J7" s="81">
        <f t="shared" si="4"/>
        <v>0.99392892271346145</v>
      </c>
    </row>
    <row r="8" spans="1:10" x14ac:dyDescent="0.25">
      <c r="A8" s="109">
        <v>20</v>
      </c>
      <c r="B8" s="109">
        <v>99256</v>
      </c>
      <c r="C8" s="111">
        <f t="shared" si="0"/>
        <v>0.99256</v>
      </c>
      <c r="D8" s="112">
        <f t="shared" si="5"/>
        <v>2.4467083076448075</v>
      </c>
      <c r="E8" s="111">
        <v>0.45500000000000002</v>
      </c>
      <c r="F8" s="111">
        <v>2.5852168560985764</v>
      </c>
      <c r="G8" s="111">
        <f t="shared" si="1"/>
        <v>2.2483224292356145</v>
      </c>
      <c r="H8" s="81">
        <f t="shared" si="2"/>
        <v>0.98897653975031075</v>
      </c>
      <c r="I8" s="111">
        <f t="shared" si="3"/>
        <v>2.4029631319854965</v>
      </c>
      <c r="J8" s="81">
        <f t="shared" si="4"/>
        <v>0.99188526796613308</v>
      </c>
    </row>
    <row r="9" spans="1:10" x14ac:dyDescent="0.25">
      <c r="A9" s="109">
        <v>25</v>
      </c>
      <c r="B9" s="109">
        <v>98905</v>
      </c>
      <c r="C9" s="111">
        <f t="shared" si="0"/>
        <v>0.98904999999999998</v>
      </c>
      <c r="D9" s="112">
        <f t="shared" si="5"/>
        <v>2.2517027150997868</v>
      </c>
      <c r="E9" s="111">
        <v>0.38290000000000002</v>
      </c>
      <c r="F9" s="111">
        <v>2.3813593480121162</v>
      </c>
      <c r="G9" s="111">
        <f t="shared" si="1"/>
        <v>2.1517329389220565</v>
      </c>
      <c r="H9" s="81">
        <f t="shared" si="2"/>
        <v>0.98665878135644414</v>
      </c>
      <c r="I9" s="111">
        <f t="shared" si="3"/>
        <v>2.2078038343278963</v>
      </c>
      <c r="J9" s="81">
        <f t="shared" si="4"/>
        <v>0.9880571488365022</v>
      </c>
    </row>
    <row r="10" spans="1:10" x14ac:dyDescent="0.25">
      <c r="A10" s="109">
        <v>30</v>
      </c>
      <c r="B10" s="109">
        <v>98499</v>
      </c>
      <c r="C10" s="111">
        <f t="shared" si="0"/>
        <v>0.98499000000000003</v>
      </c>
      <c r="D10" s="112">
        <f t="shared" si="5"/>
        <v>2.0919574215954611</v>
      </c>
      <c r="E10" s="111">
        <v>0.315</v>
      </c>
      <c r="F10" s="111">
        <v>2.2247263113370743</v>
      </c>
      <c r="G10" s="111">
        <f t="shared" si="1"/>
        <v>2.0607700208597741</v>
      </c>
      <c r="H10" s="81">
        <f t="shared" si="2"/>
        <v>0.98403935743892645</v>
      </c>
      <c r="I10" s="111">
        <f t="shared" si="3"/>
        <v>2.0578540301023209</v>
      </c>
      <c r="J10" s="81">
        <f t="shared" si="4"/>
        <v>0.98394750187832503</v>
      </c>
    </row>
    <row r="11" spans="1:10" x14ac:dyDescent="0.25">
      <c r="A11" s="109">
        <v>35</v>
      </c>
      <c r="B11" s="109">
        <v>98039</v>
      </c>
      <c r="C11" s="111">
        <f t="shared" si="0"/>
        <v>0.98038999999999998</v>
      </c>
      <c r="D11" s="112">
        <f t="shared" si="5"/>
        <v>1.9559554057376407</v>
      </c>
      <c r="E11" s="111">
        <v>0.24970000000000001</v>
      </c>
      <c r="F11" s="111">
        <v>2.0963727158789771</v>
      </c>
      <c r="G11" s="111">
        <f t="shared" si="1"/>
        <v>1.9732902189530428</v>
      </c>
      <c r="H11" s="81">
        <f t="shared" si="2"/>
        <v>0.98104555520038683</v>
      </c>
      <c r="I11" s="111">
        <f t="shared" si="3"/>
        <v>1.9349770373608712</v>
      </c>
      <c r="J11" s="81">
        <f t="shared" si="4"/>
        <v>0.97956689348443693</v>
      </c>
    </row>
    <row r="12" spans="1:10" x14ac:dyDescent="0.25">
      <c r="A12" s="109">
        <v>40</v>
      </c>
      <c r="B12" s="109">
        <v>97393</v>
      </c>
      <c r="C12" s="111">
        <f t="shared" si="0"/>
        <v>0.97392999999999996</v>
      </c>
      <c r="D12" s="112">
        <f t="shared" si="5"/>
        <v>1.8102771022656454</v>
      </c>
      <c r="E12" s="111">
        <v>0.18160000000000001</v>
      </c>
      <c r="F12" s="111">
        <v>1.9609203852349215</v>
      </c>
      <c r="G12" s="111">
        <f t="shared" si="1"/>
        <v>1.8820593688787945</v>
      </c>
      <c r="H12" s="81">
        <f t="shared" si="2"/>
        <v>0.97733746181984649</v>
      </c>
      <c r="I12" s="111">
        <f t="shared" si="3"/>
        <v>1.8053041989027097</v>
      </c>
      <c r="J12" s="81">
        <f t="shared" si="4"/>
        <v>0.97367627858157779</v>
      </c>
    </row>
    <row r="13" spans="1:10" x14ac:dyDescent="0.25">
      <c r="A13" s="109">
        <v>45</v>
      </c>
      <c r="B13" s="109">
        <v>96389</v>
      </c>
      <c r="C13" s="111">
        <f t="shared" si="0"/>
        <v>0.96389000000000002</v>
      </c>
      <c r="D13" s="112">
        <f t="shared" si="5"/>
        <v>1.6422036724632814</v>
      </c>
      <c r="E13" s="111">
        <v>0.1074</v>
      </c>
      <c r="F13" s="111">
        <v>1.8042074682451665</v>
      </c>
      <c r="G13" s="111">
        <f t="shared" si="1"/>
        <v>1.782656592439599</v>
      </c>
      <c r="H13" s="81">
        <f t="shared" si="2"/>
        <v>0.97249007938070731</v>
      </c>
      <c r="I13" s="111">
        <f t="shared" si="3"/>
        <v>1.6552779227028502</v>
      </c>
      <c r="J13" s="81">
        <f t="shared" si="4"/>
        <v>0.96478916831360706</v>
      </c>
    </row>
    <row r="14" spans="1:10" x14ac:dyDescent="0.25">
      <c r="A14" s="109">
        <v>50</v>
      </c>
      <c r="B14" s="109">
        <v>94783</v>
      </c>
      <c r="C14" s="111">
        <f t="shared" si="0"/>
        <v>0.94782999999999995</v>
      </c>
      <c r="D14" s="112">
        <f t="shared" si="5"/>
        <v>1.4498337721227867</v>
      </c>
      <c r="E14" s="111">
        <v>2.12E-2</v>
      </c>
      <c r="F14" s="111">
        <v>1.6267684723149078</v>
      </c>
      <c r="G14" s="111">
        <f t="shared" si="1"/>
        <v>1.6671778952824745</v>
      </c>
      <c r="H14" s="81">
        <f t="shared" si="2"/>
        <v>0.96558879377455176</v>
      </c>
      <c r="I14" s="111">
        <f t="shared" si="3"/>
        <v>1.48540990975661</v>
      </c>
      <c r="J14" s="81">
        <f t="shared" si="4"/>
        <v>0.9512383175640956</v>
      </c>
    </row>
    <row r="15" spans="1:10" x14ac:dyDescent="0.25">
      <c r="A15" s="109">
        <v>55</v>
      </c>
      <c r="B15" s="109">
        <v>92139</v>
      </c>
      <c r="C15" s="111">
        <f t="shared" si="0"/>
        <v>0.92139000000000004</v>
      </c>
      <c r="D15" s="112">
        <f t="shared" si="5"/>
        <v>1.2306922407937753</v>
      </c>
      <c r="E15" s="111">
        <v>-8.3199999999999996E-2</v>
      </c>
      <c r="F15" s="111">
        <v>1.4281166788293274</v>
      </c>
      <c r="G15" s="111">
        <f t="shared" si="1"/>
        <v>1.5273173850364905</v>
      </c>
      <c r="H15" s="81">
        <f t="shared" si="2"/>
        <v>0.95498220153151026</v>
      </c>
      <c r="I15" s="111">
        <f t="shared" si="3"/>
        <v>1.295234208802658</v>
      </c>
      <c r="J15" s="81">
        <f t="shared" si="4"/>
        <v>0.9302456182629435</v>
      </c>
    </row>
    <row r="16" spans="1:10" x14ac:dyDescent="0.25">
      <c r="A16" s="109">
        <v>60</v>
      </c>
      <c r="B16" s="109">
        <v>88273</v>
      </c>
      <c r="C16" s="111">
        <f t="shared" si="0"/>
        <v>0.88273000000000001</v>
      </c>
      <c r="D16" s="112">
        <f t="shared" si="5"/>
        <v>1.0092702048038031</v>
      </c>
      <c r="E16" s="111">
        <v>-0.21</v>
      </c>
      <c r="F16" s="111">
        <v>1.2160327241220339</v>
      </c>
      <c r="G16" s="111">
        <f t="shared" si="1"/>
        <v>1.357448489450372</v>
      </c>
      <c r="H16" s="81">
        <f t="shared" si="2"/>
        <v>0.93789997870178843</v>
      </c>
      <c r="I16" s="111">
        <f t="shared" si="3"/>
        <v>1.0921994712860625</v>
      </c>
      <c r="J16" s="81">
        <f t="shared" si="4"/>
        <v>0.89883975643179714</v>
      </c>
    </row>
    <row r="17" spans="1:10" x14ac:dyDescent="0.25">
      <c r="A17" s="109">
        <v>65</v>
      </c>
      <c r="B17" s="109">
        <v>83280</v>
      </c>
      <c r="C17" s="111">
        <f t="shared" si="0"/>
        <v>0.83279999999999998</v>
      </c>
      <c r="D17" s="112">
        <f t="shared" si="5"/>
        <v>0.80280140832507885</v>
      </c>
      <c r="E17" s="111">
        <v>-0.37459999999999999</v>
      </c>
      <c r="F17" s="111">
        <v>0.98406446593524843</v>
      </c>
      <c r="G17" s="111">
        <f t="shared" si="1"/>
        <v>1.1369404436027768</v>
      </c>
      <c r="H17" s="81">
        <f t="shared" si="2"/>
        <v>0.90669064001028332</v>
      </c>
      <c r="I17" s="111">
        <f t="shared" si="3"/>
        <v>0.87012885553327091</v>
      </c>
      <c r="J17" s="81">
        <f t="shared" si="4"/>
        <v>0.85071979660513486</v>
      </c>
    </row>
    <row r="18" spans="1:10" x14ac:dyDescent="0.25">
      <c r="A18" s="109">
        <v>70</v>
      </c>
      <c r="B18" s="109">
        <v>76884</v>
      </c>
      <c r="C18" s="111">
        <f t="shared" si="0"/>
        <v>0.76883999999999997</v>
      </c>
      <c r="D18" s="112">
        <f t="shared" si="5"/>
        <v>0.60088638699467656</v>
      </c>
      <c r="E18" s="111">
        <v>-0.58179999999999998</v>
      </c>
      <c r="F18" s="111">
        <v>0.74744132203863145</v>
      </c>
      <c r="G18" s="111">
        <f t="shared" si="1"/>
        <v>0.85936287920653287</v>
      </c>
      <c r="H18" s="81">
        <f t="shared" si="2"/>
        <v>0.84796463316391424</v>
      </c>
      <c r="I18" s="111">
        <f t="shared" si="3"/>
        <v>0.64360196915137968</v>
      </c>
      <c r="J18" s="81">
        <f t="shared" si="4"/>
        <v>0.78367355073252654</v>
      </c>
    </row>
    <row r="19" spans="1:10" x14ac:dyDescent="0.25">
      <c r="A19" s="109">
        <v>75</v>
      </c>
      <c r="B19" s="109">
        <v>68410</v>
      </c>
      <c r="C19" s="111">
        <f t="shared" si="0"/>
        <v>0.68410000000000004</v>
      </c>
      <c r="D19" s="112">
        <f t="shared" si="5"/>
        <v>0.38633919897945651</v>
      </c>
      <c r="E19" s="111">
        <v>-0.86729999999999996</v>
      </c>
      <c r="F19" s="111">
        <v>0.49987646767855914</v>
      </c>
      <c r="G19" s="111">
        <f t="shared" si="1"/>
        <v>0.47688993212580089</v>
      </c>
      <c r="H19" s="81">
        <f t="shared" si="2"/>
        <v>0.72187470355316641</v>
      </c>
      <c r="I19" s="111">
        <f t="shared" si="3"/>
        <v>0.40660023418890501</v>
      </c>
      <c r="J19" s="81">
        <f t="shared" si="4"/>
        <v>0.69279108506783027</v>
      </c>
    </row>
    <row r="20" spans="1:10" x14ac:dyDescent="0.25">
      <c r="A20" s="109">
        <v>80</v>
      </c>
      <c r="B20" s="109">
        <v>56425</v>
      </c>
      <c r="C20" s="111">
        <f t="shared" si="0"/>
        <v>0.56425000000000003</v>
      </c>
      <c r="D20" s="112">
        <f t="shared" si="5"/>
        <v>0.12921436564875746</v>
      </c>
      <c r="E20" s="111">
        <v>-1.2490000000000001</v>
      </c>
      <c r="F20" s="111">
        <v>0.20688185163911796</v>
      </c>
      <c r="G20" s="111">
        <f t="shared" si="1"/>
        <v>-3.4458312710330175E-2</v>
      </c>
      <c r="H20" s="81">
        <f t="shared" si="2"/>
        <v>0.48277765956594787</v>
      </c>
      <c r="I20" s="111">
        <f t="shared" si="3"/>
        <v>0.12610713869072943</v>
      </c>
      <c r="J20" s="81">
        <f t="shared" si="4"/>
        <v>0.56272143477102987</v>
      </c>
    </row>
    <row r="21" spans="1:10" x14ac:dyDescent="0.25">
      <c r="A21" s="109">
        <v>85</v>
      </c>
      <c r="B21" s="109">
        <v>40023</v>
      </c>
      <c r="C21" s="111">
        <f t="shared" si="0"/>
        <v>0.40022999999999997</v>
      </c>
      <c r="D21" s="112">
        <f t="shared" si="5"/>
        <v>-0.20225343326649242</v>
      </c>
      <c r="E21" s="111">
        <v>-1.7211000000000001</v>
      </c>
      <c r="F21" s="111">
        <v>-0.15843241960442039</v>
      </c>
      <c r="G21" s="111">
        <f t="shared" si="1"/>
        <v>-0.66691182695486084</v>
      </c>
      <c r="H21" s="81">
        <f t="shared" si="2"/>
        <v>0.20852759137240026</v>
      </c>
      <c r="I21" s="111">
        <f t="shared" si="3"/>
        <v>-0.22361987048054685</v>
      </c>
      <c r="J21" s="81">
        <f t="shared" si="4"/>
        <v>0.39001724243540103</v>
      </c>
    </row>
    <row r="22" spans="1:10" x14ac:dyDescent="0.25">
      <c r="A22" s="109">
        <v>90</v>
      </c>
      <c r="B22" s="109">
        <v>21314</v>
      </c>
      <c r="C22" s="111">
        <f t="shared" si="0"/>
        <v>0.21314</v>
      </c>
      <c r="D22" s="112">
        <f t="shared" si="5"/>
        <v>-0.65305055753794605</v>
      </c>
      <c r="F22" s="111">
        <v>-0.62393231633525548</v>
      </c>
      <c r="I22" s="111">
        <f t="shared" si="3"/>
        <v>-0.66925777589016877</v>
      </c>
      <c r="J22" s="81">
        <f t="shared" si="4"/>
        <v>0.20775428151966807</v>
      </c>
    </row>
    <row r="23" spans="1:10" x14ac:dyDescent="0.25">
      <c r="A23" s="109">
        <v>95</v>
      </c>
      <c r="B23" s="109">
        <v>7036</v>
      </c>
      <c r="C23" s="111">
        <f t="shared" si="0"/>
        <v>7.0360000000000006E-2</v>
      </c>
      <c r="D23" s="112">
        <f t="shared" si="5"/>
        <v>-1.2905862472812271</v>
      </c>
      <c r="F23" s="111">
        <v>-1.2451570026111807</v>
      </c>
      <c r="I23" s="111">
        <f t="shared" si="3"/>
        <v>-1.2639759915653703</v>
      </c>
      <c r="J23" s="81">
        <f t="shared" si="4"/>
        <v>7.3921726032365714E-2</v>
      </c>
    </row>
    <row r="24" spans="1:10" x14ac:dyDescent="0.25">
      <c r="A24" s="109">
        <v>100</v>
      </c>
      <c r="B24" s="109">
        <v>1706</v>
      </c>
      <c r="C24" s="111">
        <f t="shared" si="0"/>
        <v>1.7059999999999999E-2</v>
      </c>
      <c r="D24" s="112">
        <f t="shared" si="5"/>
        <v>-2.0269057692904418</v>
      </c>
      <c r="F24" s="111">
        <v>-2.1338610376913829</v>
      </c>
      <c r="I24" s="111">
        <f t="shared" si="3"/>
        <v>-2.1147607232131667</v>
      </c>
      <c r="J24" s="81">
        <f t="shared" si="4"/>
        <v>1.4350423386201681E-2</v>
      </c>
    </row>
    <row r="25" spans="1:10" x14ac:dyDescent="0.25">
      <c r="F25" s="111"/>
    </row>
    <row r="26" spans="1:10" ht="13" x14ac:dyDescent="0.3">
      <c r="D26" s="119" t="s">
        <v>287</v>
      </c>
      <c r="E26" s="113">
        <f>INTERCEPT(D4:D21,E4:E21)</f>
        <v>1.6387771020141328</v>
      </c>
      <c r="F26" s="113">
        <f>INTERCEPT(D4:D24,F4:F24)</f>
        <v>-7.1947459557720972E-2</v>
      </c>
    </row>
    <row r="27" spans="1:10" ht="13" x14ac:dyDescent="0.3">
      <c r="D27" s="119" t="s">
        <v>14</v>
      </c>
      <c r="E27" s="113">
        <f>SLOPE(D4:D21,E4:E21)</f>
        <v>1.3396600598274322</v>
      </c>
      <c r="F27" s="113">
        <f>SLOPE(D4:D24,F4:F24)</f>
        <v>0.95733191035980425</v>
      </c>
    </row>
  </sheetData>
  <pageMargins left="0.7" right="0.7" top="0.75" bottom="0.75" header="0.3" footer="0.3"/>
  <ignoredErrors>
    <ignoredError sqref="I4:I21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8"/>
  <sheetViews>
    <sheetView workbookViewId="0">
      <selection activeCell="L5" sqref="L5"/>
    </sheetView>
  </sheetViews>
  <sheetFormatPr baseColWidth="10" defaultColWidth="8.81640625" defaultRowHeight="12.5" x14ac:dyDescent="0.25"/>
  <cols>
    <col min="1" max="16384" width="8.81640625" style="109"/>
  </cols>
  <sheetData>
    <row r="1" spans="1:12" ht="13" x14ac:dyDescent="0.3">
      <c r="A1" s="114" t="s">
        <v>288</v>
      </c>
    </row>
    <row r="2" spans="1:12" x14ac:dyDescent="0.25">
      <c r="C2" s="110" t="s">
        <v>251</v>
      </c>
      <c r="D2" s="110" t="s">
        <v>41</v>
      </c>
      <c r="E2" s="110" t="s">
        <v>252</v>
      </c>
      <c r="F2" s="110" t="s">
        <v>253</v>
      </c>
      <c r="G2" s="110" t="s">
        <v>44</v>
      </c>
      <c r="H2" s="110" t="s">
        <v>254</v>
      </c>
      <c r="I2" s="110" t="s">
        <v>255</v>
      </c>
      <c r="J2" s="110" t="s">
        <v>256</v>
      </c>
      <c r="K2" s="120" t="s">
        <v>42</v>
      </c>
      <c r="L2" s="120" t="s">
        <v>282</v>
      </c>
    </row>
    <row r="3" spans="1:12" x14ac:dyDescent="0.25">
      <c r="A3" s="115" t="s">
        <v>257</v>
      </c>
      <c r="B3" s="115" t="s">
        <v>258</v>
      </c>
      <c r="C3" s="111">
        <v>2.2899999999999999E-3</v>
      </c>
      <c r="D3" s="111">
        <v>2.2799999999999999E-3</v>
      </c>
      <c r="E3" s="117">
        <v>0.05</v>
      </c>
      <c r="F3" s="118">
        <v>100000</v>
      </c>
      <c r="G3" s="116">
        <v>228</v>
      </c>
      <c r="H3" s="116">
        <v>99784</v>
      </c>
      <c r="I3" s="116">
        <v>7996191</v>
      </c>
      <c r="J3" s="117">
        <v>79.959999999999994</v>
      </c>
      <c r="K3" s="121">
        <f>F3/F$3</f>
        <v>1</v>
      </c>
      <c r="L3" s="121"/>
    </row>
    <row r="4" spans="1:12" x14ac:dyDescent="0.25">
      <c r="A4" s="115" t="s">
        <v>257</v>
      </c>
      <c r="B4" s="115" t="s">
        <v>259</v>
      </c>
      <c r="C4" s="111">
        <v>2.1000000000000001E-4</v>
      </c>
      <c r="D4" s="111">
        <v>8.4999999999999995E-4</v>
      </c>
      <c r="E4" s="117">
        <v>1.66</v>
      </c>
      <c r="F4" s="118">
        <v>99772</v>
      </c>
      <c r="G4" s="116">
        <v>85</v>
      </c>
      <c r="H4" s="116">
        <v>398888</v>
      </c>
      <c r="I4" s="116">
        <v>7896408</v>
      </c>
      <c r="J4" s="117">
        <v>79.14</v>
      </c>
      <c r="K4" s="122">
        <f t="shared" ref="K4:K26" si="0">F4/F$3</f>
        <v>0.99772000000000005</v>
      </c>
      <c r="L4" s="122">
        <f t="shared" ref="L4:L26" si="1">0.5*LN(K4/(1-K4))</f>
        <v>3.0406486164291291</v>
      </c>
    </row>
    <row r="5" spans="1:12" x14ac:dyDescent="0.25">
      <c r="A5" s="115" t="s">
        <v>257</v>
      </c>
      <c r="B5" s="115" t="s">
        <v>260</v>
      </c>
      <c r="C5" s="111">
        <v>1.1E-4</v>
      </c>
      <c r="D5" s="111">
        <v>5.2999999999999998E-4</v>
      </c>
      <c r="E5" s="117">
        <v>2.25</v>
      </c>
      <c r="F5" s="118">
        <v>99687</v>
      </c>
      <c r="G5" s="116">
        <v>53</v>
      </c>
      <c r="H5" s="116">
        <v>498287</v>
      </c>
      <c r="I5" s="116">
        <v>7497520</v>
      </c>
      <c r="J5" s="117">
        <v>75.209999999999994</v>
      </c>
      <c r="K5" s="122">
        <f t="shared" si="0"/>
        <v>0.99687000000000003</v>
      </c>
      <c r="L5" s="122">
        <f t="shared" si="1"/>
        <v>2.8817936828672992</v>
      </c>
    </row>
    <row r="6" spans="1:12" x14ac:dyDescent="0.25">
      <c r="A6" s="115" t="s">
        <v>257</v>
      </c>
      <c r="B6" s="115" t="s">
        <v>261</v>
      </c>
      <c r="C6" s="111">
        <v>1E-4</v>
      </c>
      <c r="D6" s="111">
        <v>5.1000000000000004E-4</v>
      </c>
      <c r="E6" s="117">
        <v>2.99</v>
      </c>
      <c r="F6" s="118">
        <v>99634</v>
      </c>
      <c r="G6" s="116">
        <v>50</v>
      </c>
      <c r="H6" s="116">
        <v>498067</v>
      </c>
      <c r="I6" s="116">
        <v>6999233</v>
      </c>
      <c r="J6" s="117">
        <v>70.25</v>
      </c>
      <c r="K6" s="122">
        <f t="shared" si="0"/>
        <v>0.99634</v>
      </c>
      <c r="L6" s="122">
        <f t="shared" si="1"/>
        <v>2.8033127086906195</v>
      </c>
    </row>
    <row r="7" spans="1:12" x14ac:dyDescent="0.25">
      <c r="A7" s="115" t="s">
        <v>257</v>
      </c>
      <c r="B7" s="115" t="s">
        <v>262</v>
      </c>
      <c r="C7" s="111">
        <v>2.9999999999999997E-4</v>
      </c>
      <c r="D7" s="111">
        <v>1.49E-3</v>
      </c>
      <c r="E7" s="117">
        <v>2.98</v>
      </c>
      <c r="F7" s="118">
        <v>99583</v>
      </c>
      <c r="G7" s="116">
        <v>149</v>
      </c>
      <c r="H7" s="116">
        <v>497616</v>
      </c>
      <c r="I7" s="116">
        <v>6501166</v>
      </c>
      <c r="J7" s="117">
        <v>65.28</v>
      </c>
      <c r="K7" s="122">
        <f t="shared" si="0"/>
        <v>0.99582999999999999</v>
      </c>
      <c r="L7" s="122">
        <f t="shared" si="1"/>
        <v>2.7378302622375039</v>
      </c>
    </row>
    <row r="8" spans="1:12" x14ac:dyDescent="0.25">
      <c r="A8" s="115" t="s">
        <v>257</v>
      </c>
      <c r="B8" s="115" t="s">
        <v>263</v>
      </c>
      <c r="C8" s="111">
        <v>5.6999999999999998E-4</v>
      </c>
      <c r="D8" s="111">
        <v>2.8400000000000001E-3</v>
      </c>
      <c r="E8" s="117">
        <v>2.63</v>
      </c>
      <c r="F8" s="118">
        <v>99435</v>
      </c>
      <c r="G8" s="116">
        <v>282</v>
      </c>
      <c r="H8" s="116">
        <v>496505</v>
      </c>
      <c r="I8" s="116">
        <v>6003550</v>
      </c>
      <c r="J8" s="117">
        <v>60.38</v>
      </c>
      <c r="K8" s="122">
        <f t="shared" si="0"/>
        <v>0.99434999999999996</v>
      </c>
      <c r="L8" s="122">
        <f t="shared" si="1"/>
        <v>2.5852168560985764</v>
      </c>
    </row>
    <row r="9" spans="1:12" x14ac:dyDescent="0.25">
      <c r="A9" s="115" t="s">
        <v>257</v>
      </c>
      <c r="B9" s="115" t="s">
        <v>264</v>
      </c>
      <c r="C9" s="111">
        <v>6.2E-4</v>
      </c>
      <c r="D9" s="111">
        <v>3.0999999999999999E-3</v>
      </c>
      <c r="E9" s="117">
        <v>2.4700000000000002</v>
      </c>
      <c r="F9" s="118">
        <v>99153</v>
      </c>
      <c r="G9" s="116">
        <v>308</v>
      </c>
      <c r="H9" s="116">
        <v>494986</v>
      </c>
      <c r="I9" s="116">
        <v>5507045</v>
      </c>
      <c r="J9" s="117">
        <v>55.54</v>
      </c>
      <c r="K9" s="122">
        <f t="shared" si="0"/>
        <v>0.99153000000000002</v>
      </c>
      <c r="L9" s="122">
        <f t="shared" si="1"/>
        <v>2.3813593480121162</v>
      </c>
    </row>
    <row r="10" spans="1:12" x14ac:dyDescent="0.25">
      <c r="A10" s="115" t="s">
        <v>257</v>
      </c>
      <c r="B10" s="115" t="s">
        <v>265</v>
      </c>
      <c r="C10" s="111">
        <v>6.7000000000000002E-4</v>
      </c>
      <c r="D10" s="111">
        <v>3.3600000000000001E-3</v>
      </c>
      <c r="E10" s="117">
        <v>2.54</v>
      </c>
      <c r="F10" s="118">
        <v>98845</v>
      </c>
      <c r="G10" s="116">
        <v>333</v>
      </c>
      <c r="H10" s="116">
        <v>493407</v>
      </c>
      <c r="I10" s="116">
        <v>5012059</v>
      </c>
      <c r="J10" s="117">
        <v>50.71</v>
      </c>
      <c r="K10" s="122">
        <f t="shared" si="0"/>
        <v>0.98845000000000005</v>
      </c>
      <c r="L10" s="122">
        <f t="shared" si="1"/>
        <v>2.2247263113370743</v>
      </c>
    </row>
    <row r="11" spans="1:12" x14ac:dyDescent="0.25">
      <c r="A11" s="115" t="s">
        <v>257</v>
      </c>
      <c r="B11" s="115" t="s">
        <v>266</v>
      </c>
      <c r="C11" s="111">
        <v>9.3000000000000005E-4</v>
      </c>
      <c r="D11" s="111">
        <v>4.62E-3</v>
      </c>
      <c r="E11" s="117">
        <v>2.64</v>
      </c>
      <c r="F11" s="118">
        <v>98512</v>
      </c>
      <c r="G11" s="116">
        <v>455</v>
      </c>
      <c r="H11" s="116">
        <v>491488</v>
      </c>
      <c r="I11" s="116">
        <v>4518652</v>
      </c>
      <c r="J11" s="117">
        <v>45.87</v>
      </c>
      <c r="K11" s="122">
        <f t="shared" si="0"/>
        <v>0.98512</v>
      </c>
      <c r="L11" s="122">
        <f t="shared" si="1"/>
        <v>2.0963727158789771</v>
      </c>
    </row>
    <row r="12" spans="1:12" x14ac:dyDescent="0.25">
      <c r="A12" s="115" t="s">
        <v>257</v>
      </c>
      <c r="B12" s="115" t="s">
        <v>267</v>
      </c>
      <c r="C12" s="111">
        <v>1.42E-3</v>
      </c>
      <c r="D12" s="111">
        <v>7.0899999999999999E-3</v>
      </c>
      <c r="E12" s="117">
        <v>2.71</v>
      </c>
      <c r="F12" s="118">
        <v>98058</v>
      </c>
      <c r="G12" s="116">
        <v>696</v>
      </c>
      <c r="H12" s="116">
        <v>488696</v>
      </c>
      <c r="I12" s="116">
        <v>4027164</v>
      </c>
      <c r="J12" s="117">
        <v>41.07</v>
      </c>
      <c r="K12" s="122">
        <f t="shared" si="0"/>
        <v>0.98058000000000001</v>
      </c>
      <c r="L12" s="122">
        <f t="shared" si="1"/>
        <v>1.9609203852349215</v>
      </c>
    </row>
    <row r="13" spans="1:12" x14ac:dyDescent="0.25">
      <c r="A13" s="115" t="s">
        <v>257</v>
      </c>
      <c r="B13" s="115" t="s">
        <v>268</v>
      </c>
      <c r="C13" s="111">
        <v>2.2399999999999998E-3</v>
      </c>
      <c r="D13" s="111">
        <v>1.112E-2</v>
      </c>
      <c r="E13" s="117">
        <v>2.71</v>
      </c>
      <c r="F13" s="118">
        <v>97362</v>
      </c>
      <c r="G13" s="116">
        <v>1083</v>
      </c>
      <c r="H13" s="116">
        <v>484335</v>
      </c>
      <c r="I13" s="116">
        <v>3538468</v>
      </c>
      <c r="J13" s="117">
        <v>36.340000000000003</v>
      </c>
      <c r="K13" s="122">
        <f t="shared" si="0"/>
        <v>0.97362000000000004</v>
      </c>
      <c r="L13" s="122">
        <f t="shared" si="1"/>
        <v>1.8042074682451665</v>
      </c>
    </row>
    <row r="14" spans="1:12" x14ac:dyDescent="0.25">
      <c r="A14" s="115" t="s">
        <v>257</v>
      </c>
      <c r="B14" s="115" t="s">
        <v>269</v>
      </c>
      <c r="C14" s="111">
        <v>3.5899999999999999E-3</v>
      </c>
      <c r="D14" s="111">
        <v>1.7819999999999999E-2</v>
      </c>
      <c r="E14" s="117">
        <v>2.68</v>
      </c>
      <c r="F14" s="118">
        <v>96280</v>
      </c>
      <c r="G14" s="116">
        <v>1715</v>
      </c>
      <c r="H14" s="116">
        <v>477413</v>
      </c>
      <c r="I14" s="116">
        <v>3054134</v>
      </c>
      <c r="J14" s="117">
        <v>31.72</v>
      </c>
      <c r="K14" s="122">
        <f t="shared" si="0"/>
        <v>0.96279999999999999</v>
      </c>
      <c r="L14" s="122">
        <f t="shared" si="1"/>
        <v>1.6267684723149078</v>
      </c>
    </row>
    <row r="15" spans="1:12" x14ac:dyDescent="0.25">
      <c r="A15" s="115" t="s">
        <v>257</v>
      </c>
      <c r="B15" s="115" t="s">
        <v>270</v>
      </c>
      <c r="C15" s="111">
        <v>5.6600000000000001E-3</v>
      </c>
      <c r="D15" s="111">
        <v>2.792E-2</v>
      </c>
      <c r="E15" s="117">
        <v>2.7</v>
      </c>
      <c r="F15" s="118">
        <v>94564</v>
      </c>
      <c r="G15" s="116">
        <v>2640</v>
      </c>
      <c r="H15" s="116">
        <v>466758</v>
      </c>
      <c r="I15" s="116">
        <v>2576721</v>
      </c>
      <c r="J15" s="117">
        <v>27.25</v>
      </c>
      <c r="K15" s="122">
        <f t="shared" si="0"/>
        <v>0.94564000000000004</v>
      </c>
      <c r="L15" s="122">
        <f t="shared" si="1"/>
        <v>1.4281166788293274</v>
      </c>
    </row>
    <row r="16" spans="1:12" x14ac:dyDescent="0.25">
      <c r="A16" s="115" t="s">
        <v>257</v>
      </c>
      <c r="B16" s="115" t="s">
        <v>271</v>
      </c>
      <c r="C16" s="111">
        <v>9.2999999999999992E-3</v>
      </c>
      <c r="D16" s="111">
        <v>4.5510000000000002E-2</v>
      </c>
      <c r="E16" s="117">
        <v>2.69</v>
      </c>
      <c r="F16" s="118">
        <v>91924</v>
      </c>
      <c r="G16" s="116">
        <v>4183</v>
      </c>
      <c r="H16" s="116">
        <v>449939</v>
      </c>
      <c r="I16" s="116">
        <v>2109962</v>
      </c>
      <c r="J16" s="117">
        <v>22.95</v>
      </c>
      <c r="K16" s="122">
        <f t="shared" si="0"/>
        <v>0.91923999999999995</v>
      </c>
      <c r="L16" s="122">
        <f t="shared" si="1"/>
        <v>1.2160327241220339</v>
      </c>
    </row>
    <row r="17" spans="1:12" x14ac:dyDescent="0.25">
      <c r="A17" s="115" t="s">
        <v>257</v>
      </c>
      <c r="B17" s="115" t="s">
        <v>272</v>
      </c>
      <c r="C17" s="111">
        <v>1.4279999999999999E-2</v>
      </c>
      <c r="D17" s="111">
        <v>6.9059999999999996E-2</v>
      </c>
      <c r="E17" s="117">
        <v>2.65</v>
      </c>
      <c r="F17" s="118">
        <v>87741</v>
      </c>
      <c r="G17" s="116">
        <v>6060</v>
      </c>
      <c r="H17" s="116">
        <v>424458</v>
      </c>
      <c r="I17" s="116">
        <v>1660024</v>
      </c>
      <c r="J17" s="117">
        <v>18.920000000000002</v>
      </c>
      <c r="K17" s="122">
        <f t="shared" si="0"/>
        <v>0.87741000000000002</v>
      </c>
      <c r="L17" s="122">
        <f t="shared" si="1"/>
        <v>0.98406446593524843</v>
      </c>
    </row>
    <row r="18" spans="1:12" x14ac:dyDescent="0.25">
      <c r="A18" s="115" t="s">
        <v>257</v>
      </c>
      <c r="B18" s="115" t="s">
        <v>273</v>
      </c>
      <c r="C18" s="111">
        <v>2.2110000000000001E-2</v>
      </c>
      <c r="D18" s="111">
        <v>0.10503999999999999</v>
      </c>
      <c r="E18" s="117">
        <v>2.64</v>
      </c>
      <c r="F18" s="118">
        <v>81681</v>
      </c>
      <c r="G18" s="116">
        <v>8580</v>
      </c>
      <c r="H18" s="116">
        <v>388145</v>
      </c>
      <c r="I18" s="116">
        <v>1235566</v>
      </c>
      <c r="J18" s="117">
        <v>15.13</v>
      </c>
      <c r="K18" s="122">
        <f t="shared" si="0"/>
        <v>0.81681000000000004</v>
      </c>
      <c r="L18" s="122">
        <f t="shared" si="1"/>
        <v>0.74744132203863145</v>
      </c>
    </row>
    <row r="19" spans="1:12" x14ac:dyDescent="0.25">
      <c r="A19" s="115" t="s">
        <v>257</v>
      </c>
      <c r="B19" s="115" t="s">
        <v>274</v>
      </c>
      <c r="C19" s="111">
        <v>3.8460000000000001E-2</v>
      </c>
      <c r="D19" s="111">
        <v>0.17649999999999999</v>
      </c>
      <c r="E19" s="117">
        <v>2.67</v>
      </c>
      <c r="F19" s="118">
        <v>73101</v>
      </c>
      <c r="G19" s="116">
        <v>12902</v>
      </c>
      <c r="H19" s="116">
        <v>335443</v>
      </c>
      <c r="I19" s="116">
        <v>847421</v>
      </c>
      <c r="J19" s="117">
        <v>11.59</v>
      </c>
      <c r="K19" s="122">
        <f t="shared" si="0"/>
        <v>0.73101000000000005</v>
      </c>
      <c r="L19" s="122">
        <f t="shared" si="1"/>
        <v>0.49987646767855914</v>
      </c>
    </row>
    <row r="20" spans="1:12" x14ac:dyDescent="0.25">
      <c r="A20" s="115" t="s">
        <v>257</v>
      </c>
      <c r="B20" s="115" t="s">
        <v>275</v>
      </c>
      <c r="C20" s="111">
        <v>7.009E-2</v>
      </c>
      <c r="D20" s="111">
        <v>0.29992999999999997</v>
      </c>
      <c r="E20" s="117">
        <v>2.6</v>
      </c>
      <c r="F20" s="118">
        <v>60199</v>
      </c>
      <c r="G20" s="116">
        <v>18055</v>
      </c>
      <c r="H20" s="116">
        <v>257602</v>
      </c>
      <c r="I20" s="116">
        <v>511978</v>
      </c>
      <c r="J20" s="117">
        <v>8.5</v>
      </c>
      <c r="K20" s="122">
        <f t="shared" si="0"/>
        <v>0.60199000000000003</v>
      </c>
      <c r="L20" s="122">
        <f t="shared" si="1"/>
        <v>0.20688185163911796</v>
      </c>
    </row>
    <row r="21" spans="1:12" x14ac:dyDescent="0.25">
      <c r="A21" s="115" t="s">
        <v>257</v>
      </c>
      <c r="B21" s="115" t="s">
        <v>276</v>
      </c>
      <c r="C21" s="111">
        <v>0.12359000000000001</v>
      </c>
      <c r="D21" s="111">
        <v>0.47069</v>
      </c>
      <c r="E21" s="117">
        <v>2.4700000000000002</v>
      </c>
      <c r="F21" s="118">
        <v>42144</v>
      </c>
      <c r="G21" s="116">
        <v>19837</v>
      </c>
      <c r="H21" s="116">
        <v>160503</v>
      </c>
      <c r="I21" s="116">
        <v>254376</v>
      </c>
      <c r="J21" s="117">
        <v>6.04</v>
      </c>
      <c r="K21" s="122">
        <f t="shared" si="0"/>
        <v>0.42143999999999998</v>
      </c>
      <c r="L21" s="122">
        <f t="shared" si="1"/>
        <v>-0.15843241960442039</v>
      </c>
    </row>
    <row r="22" spans="1:12" x14ac:dyDescent="0.25">
      <c r="A22" s="115" t="s">
        <v>257</v>
      </c>
      <c r="B22" s="115" t="s">
        <v>277</v>
      </c>
      <c r="C22" s="111">
        <v>0.20521</v>
      </c>
      <c r="D22" s="111">
        <v>0.65690000000000004</v>
      </c>
      <c r="E22" s="117">
        <v>2.2599999999999998</v>
      </c>
      <c r="F22" s="118">
        <v>22307</v>
      </c>
      <c r="G22" s="116">
        <v>14654</v>
      </c>
      <c r="H22" s="116">
        <v>71409</v>
      </c>
      <c r="I22" s="116">
        <v>93873</v>
      </c>
      <c r="J22" s="117">
        <v>4.21</v>
      </c>
      <c r="K22" s="122">
        <f t="shared" si="0"/>
        <v>0.22306999999999999</v>
      </c>
      <c r="L22" s="122">
        <f t="shared" si="1"/>
        <v>-0.62393231633525548</v>
      </c>
    </row>
    <row r="23" spans="1:12" x14ac:dyDescent="0.25">
      <c r="A23" s="115" t="s">
        <v>257</v>
      </c>
      <c r="B23" s="115" t="s">
        <v>278</v>
      </c>
      <c r="C23" s="111">
        <v>0.32101000000000002</v>
      </c>
      <c r="D23" s="111">
        <v>0.81949000000000005</v>
      </c>
      <c r="E23" s="117">
        <v>2.0099999999999998</v>
      </c>
      <c r="F23" s="118">
        <v>7654</v>
      </c>
      <c r="G23" s="116">
        <v>6272</v>
      </c>
      <c r="H23" s="116">
        <v>19538</v>
      </c>
      <c r="I23" s="116">
        <v>22464</v>
      </c>
      <c r="J23" s="117">
        <v>2.94</v>
      </c>
      <c r="K23" s="122">
        <f t="shared" si="0"/>
        <v>7.6539999999999997E-2</v>
      </c>
      <c r="L23" s="122">
        <f t="shared" si="1"/>
        <v>-1.2451570026111807</v>
      </c>
    </row>
    <row r="24" spans="1:12" x14ac:dyDescent="0.25">
      <c r="A24" s="115" t="s">
        <v>257</v>
      </c>
      <c r="B24" s="115" t="s">
        <v>279</v>
      </c>
      <c r="C24" s="111">
        <v>0.46267000000000003</v>
      </c>
      <c r="D24" s="111">
        <v>0.91835</v>
      </c>
      <c r="E24" s="117">
        <v>1.72</v>
      </c>
      <c r="F24" s="118">
        <v>1382</v>
      </c>
      <c r="G24" s="116">
        <v>1269</v>
      </c>
      <c r="H24" s="116">
        <v>2742</v>
      </c>
      <c r="I24" s="116">
        <v>2926</v>
      </c>
      <c r="J24" s="117">
        <v>2.12</v>
      </c>
      <c r="K24" s="122">
        <f t="shared" si="0"/>
        <v>1.3820000000000001E-2</v>
      </c>
      <c r="L24" s="122">
        <f t="shared" si="1"/>
        <v>-2.1338610376913829</v>
      </c>
    </row>
    <row r="25" spans="1:12" x14ac:dyDescent="0.25">
      <c r="A25" s="115" t="s">
        <v>257</v>
      </c>
      <c r="B25" s="115" t="s">
        <v>280</v>
      </c>
      <c r="C25" s="111">
        <v>0.61163999999999996</v>
      </c>
      <c r="D25" s="111">
        <v>0.96457000000000004</v>
      </c>
      <c r="E25" s="117">
        <v>1.45</v>
      </c>
      <c r="F25" s="118">
        <v>113</v>
      </c>
      <c r="G25" s="116">
        <v>109</v>
      </c>
      <c r="H25" s="116">
        <v>178</v>
      </c>
      <c r="I25" s="116">
        <v>183</v>
      </c>
      <c r="J25" s="117">
        <v>1.63</v>
      </c>
      <c r="K25" s="122">
        <f t="shared" si="0"/>
        <v>1.1299999999999999E-3</v>
      </c>
      <c r="L25" s="122">
        <f t="shared" si="1"/>
        <v>-3.3922035036632572</v>
      </c>
    </row>
    <row r="26" spans="1:12" x14ac:dyDescent="0.25">
      <c r="A26" s="115" t="s">
        <v>257</v>
      </c>
      <c r="B26" s="115" t="s">
        <v>281</v>
      </c>
      <c r="C26" s="111">
        <v>0.72679000000000005</v>
      </c>
      <c r="D26" s="111">
        <v>1</v>
      </c>
      <c r="E26" s="117">
        <v>1.38</v>
      </c>
      <c r="F26" s="118">
        <v>4</v>
      </c>
      <c r="G26" s="116">
        <v>4</v>
      </c>
      <c r="H26" s="116">
        <v>5</v>
      </c>
      <c r="I26" s="116">
        <v>5</v>
      </c>
      <c r="J26" s="117">
        <v>1.38</v>
      </c>
      <c r="K26" s="122">
        <f t="shared" si="0"/>
        <v>4.0000000000000003E-5</v>
      </c>
      <c r="L26" s="122">
        <f t="shared" si="1"/>
        <v>-5.0632955515251581</v>
      </c>
    </row>
    <row r="27" spans="1:12" x14ac:dyDescent="0.25">
      <c r="C27" s="111"/>
      <c r="D27" s="111"/>
    </row>
    <row r="28" spans="1:12" x14ac:dyDescent="0.25">
      <c r="A28" s="12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énoncés</vt:lpstr>
      <vt:lpstr>B_P</vt:lpstr>
      <vt:lpstr>TMI</vt:lpstr>
      <vt:lpstr>Ledermann1</vt:lpstr>
      <vt:lpstr>Ledermann2</vt:lpstr>
      <vt:lpstr>Brass</vt:lpstr>
      <vt:lpstr>Japon</vt:lpstr>
      <vt:lpstr>B_P!top</vt:lpstr>
    </vt:vector>
  </TitlesOfParts>
  <Company>UP1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Rychtarikova</dc:creator>
  <cp:lastModifiedBy>Avdeev</cp:lastModifiedBy>
  <dcterms:created xsi:type="dcterms:W3CDTF">2015-03-20T13:07:30Z</dcterms:created>
  <dcterms:modified xsi:type="dcterms:W3CDTF">2021-12-09T15:27:40Z</dcterms:modified>
</cp:coreProperties>
</file>