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f2a27204185849b2/Documents/Thèse/ATER paris 1/TD Statistiques et informatique L3 sciences sociales/Séance 14 décembre/"/>
    </mc:Choice>
  </mc:AlternateContent>
  <xr:revisionPtr revIDLastSave="166" documentId="13_ncr:1_{31F476CF-D795-4910-9657-9D707385AD72}" xr6:coauthVersionLast="47" xr6:coauthVersionMax="47" xr10:uidLastSave="{0EF29FE5-7960-470B-A968-18197E0E0761}"/>
  <bookViews>
    <workbookView xWindow="-90" yWindow="-90" windowWidth="19380" windowHeight="10260" tabRatio="757" xr2:uid="{111BBEC4-0316-4B45-8744-A1B920351402}"/>
  </bookViews>
  <sheets>
    <sheet name="TD2" sheetId="1" r:id="rId1"/>
  </sheets>
  <definedNames>
    <definedName name="_xlnm._FilterDatabase" localSheetId="0" hidden="1">'TD2'!$A$78:$B$78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36" i="1" l="1"/>
  <c r="B135" i="1"/>
  <c r="B141" i="1"/>
  <c r="B140" i="1"/>
  <c r="B73" i="1"/>
  <c r="B72" i="1"/>
  <c r="C71" i="1"/>
  <c r="B71" i="1"/>
  <c r="B47" i="1" l="1"/>
  <c r="C56" i="1"/>
  <c r="B50" i="1"/>
  <c r="J27" i="1"/>
  <c r="I27" i="1"/>
  <c r="B48" i="1"/>
  <c r="B46" i="1"/>
  <c r="B144" i="1" s="1"/>
  <c r="H2" i="1"/>
  <c r="C46" i="1"/>
  <c r="G27" i="1"/>
  <c r="H24" i="1"/>
  <c r="B35" i="1" l="1"/>
  <c r="J24" i="1"/>
  <c r="B49" i="1"/>
  <c r="G26" i="1"/>
  <c r="H3" i="1"/>
  <c r="G24" i="1"/>
  <c r="B36" i="1"/>
  <c r="B61" i="1"/>
  <c r="J2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79" i="1"/>
  <c r="J3" i="1"/>
  <c r="J4" i="1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D130" i="1"/>
  <c r="C60" i="1"/>
  <c r="D60" i="1" s="1"/>
  <c r="C59" i="1"/>
  <c r="D59" i="1" s="1"/>
  <c r="C58" i="1"/>
  <c r="D58" i="1" s="1"/>
  <c r="C57" i="1"/>
  <c r="D57" i="1" s="1"/>
  <c r="D56" i="1"/>
  <c r="C130" i="1"/>
  <c r="J78" i="1"/>
  <c r="F80" i="1" s="1"/>
  <c r="B26" i="1"/>
  <c r="B130" i="1"/>
  <c r="J83" i="1"/>
  <c r="J82" i="1"/>
  <c r="J79" i="1"/>
  <c r="H100" i="1" l="1"/>
  <c r="F79" i="1"/>
  <c r="J93" i="1"/>
  <c r="J92" i="1"/>
  <c r="F97" i="1"/>
  <c r="F81" i="1"/>
  <c r="F87" i="1"/>
  <c r="F94" i="1"/>
  <c r="F86" i="1"/>
  <c r="F95" i="1"/>
  <c r="F93" i="1"/>
  <c r="F85" i="1"/>
  <c r="F99" i="1"/>
  <c r="F91" i="1"/>
  <c r="F83" i="1"/>
  <c r="F89" i="1"/>
  <c r="F92" i="1"/>
  <c r="F84" i="1"/>
  <c r="F98" i="1"/>
  <c r="F90" i="1"/>
  <c r="F82" i="1"/>
  <c r="F96" i="1"/>
  <c r="F88" i="1"/>
  <c r="J80" i="1" l="1"/>
  <c r="J81" i="1" s="1"/>
  <c r="H4" i="1"/>
  <c r="H12" i="1"/>
  <c r="H20" i="1"/>
  <c r="H21" i="1"/>
  <c r="H22" i="1"/>
  <c r="H13" i="1"/>
  <c r="H14" i="1"/>
  <c r="H7" i="1"/>
  <c r="H15" i="1"/>
  <c r="H10" i="1"/>
  <c r="H18" i="1"/>
  <c r="H19" i="1"/>
  <c r="H8" i="1"/>
  <c r="H16" i="1"/>
  <c r="H9" i="1"/>
  <c r="H17" i="1"/>
  <c r="H11" i="1"/>
  <c r="H5" i="1"/>
  <c r="H6" i="1"/>
  <c r="J91" i="1" l="1"/>
  <c r="J88" i="1"/>
  <c r="J87" i="1"/>
  <c r="C144" i="1" l="1"/>
  <c r="B67" i="1"/>
  <c r="G82" i="1"/>
  <c r="G90" i="1"/>
  <c r="G98" i="1"/>
  <c r="G84" i="1"/>
  <c r="G92" i="1"/>
  <c r="G79" i="1"/>
  <c r="G85" i="1"/>
  <c r="G93" i="1"/>
  <c r="G86" i="1"/>
  <c r="G94" i="1"/>
  <c r="G87" i="1"/>
  <c r="G95" i="1"/>
  <c r="G89" i="1"/>
  <c r="G80" i="1"/>
  <c r="G88" i="1"/>
  <c r="G96" i="1"/>
  <c r="G81" i="1"/>
  <c r="G97" i="1"/>
  <c r="G83" i="1"/>
  <c r="G91" i="1"/>
  <c r="G99" i="1"/>
  <c r="B68" i="1" l="1"/>
  <c r="I2" i="1" s="1"/>
  <c r="J90" i="1"/>
  <c r="I8" i="1" l="1"/>
  <c r="I11" i="1"/>
  <c r="I6" i="1"/>
  <c r="I19" i="1"/>
  <c r="I21" i="1"/>
  <c r="I18" i="1"/>
  <c r="I3" i="1"/>
  <c r="I7" i="1"/>
  <c r="I22" i="1"/>
  <c r="I17" i="1"/>
  <c r="I15" i="1"/>
  <c r="I12" i="1"/>
  <c r="I9" i="1"/>
  <c r="I10" i="1"/>
  <c r="I16" i="1"/>
  <c r="I20" i="1"/>
  <c r="I14" i="1"/>
  <c r="I4" i="1"/>
  <c r="I5" i="1"/>
  <c r="I13" i="1"/>
  <c r="B70" i="1" l="1"/>
</calcChain>
</file>

<file path=xl/sharedStrings.xml><?xml version="1.0" encoding="utf-8"?>
<sst xmlns="http://schemas.openxmlformats.org/spreadsheetml/2006/main" count="196" uniqueCount="93">
  <si>
    <t>Suisse</t>
  </si>
  <si>
    <t>Suède</t>
  </si>
  <si>
    <t>France</t>
  </si>
  <si>
    <t>Irlande</t>
  </si>
  <si>
    <t>Norvège</t>
  </si>
  <si>
    <t>Espagne</t>
  </si>
  <si>
    <t>Italie</t>
  </si>
  <si>
    <t>Royaume-Uni</t>
  </si>
  <si>
    <t>Hongrie</t>
  </si>
  <si>
    <t>Allemagne</t>
  </si>
  <si>
    <t>Turquie</t>
  </si>
  <si>
    <t>Slovaquie</t>
  </si>
  <si>
    <t>Finlande</t>
  </si>
  <si>
    <t>NZ</t>
  </si>
  <si>
    <t>Pays-Bas</t>
  </si>
  <si>
    <t>Mexique</t>
  </si>
  <si>
    <t>Grèce</t>
  </si>
  <si>
    <t>Japon</t>
  </si>
  <si>
    <t>Pologne</t>
  </si>
  <si>
    <t>Rep Tchèque</t>
  </si>
  <si>
    <t>USA</t>
  </si>
  <si>
    <t>Australie</t>
  </si>
  <si>
    <t>Canada</t>
  </si>
  <si>
    <t>Corée</t>
  </si>
  <si>
    <t>Moyenne</t>
  </si>
  <si>
    <t>Médiane</t>
  </si>
  <si>
    <t>Variance</t>
  </si>
  <si>
    <t>Q1 (5,25)</t>
  </si>
  <si>
    <t>Q3 (15,75)</t>
  </si>
  <si>
    <t>Ecart interquartile</t>
  </si>
  <si>
    <t>Ecart-type</t>
  </si>
  <si>
    <t>1) En enlevant les États-Unis, l’Australie et le Canada, calculez le poids moyen en kg émis pour chaque $ de</t>
  </si>
  <si>
    <t>revenu national sur cet échantillon de pays de l’OCDE. Calculez semblablement la médiane de cet indicateur.</t>
  </si>
  <si>
    <t>Pays</t>
  </si>
  <si>
    <t>2) Déterminez la variance et l’écart-type, le premier et le troisième quartile ainsi que l’écart interquartile de</t>
  </si>
  <si>
    <t>cette distribution. Tracez une « boîte à moustache » des émissions par $ et ajoutez-y les 3 points exclus des</t>
  </si>
  <si>
    <t>calculs.</t>
  </si>
  <si>
    <r>
      <t>(x-moyenne)</t>
    </r>
    <r>
      <rPr>
        <vertAlign val="superscript"/>
        <sz val="11"/>
        <color theme="1"/>
        <rFont val="Calibri"/>
        <family val="2"/>
        <scheme val="minor"/>
      </rPr>
      <t>2</t>
    </r>
  </si>
  <si>
    <t>3) À l’aide d’un histogramme, représentez graphiquement cette distribution en utilisant les bornes de classes</t>
  </si>
  <si>
    <t>suivantes : 0,08 ; 0,14 ; 0,19 ; 0,25 ; 0,315 ; 0,355.</t>
  </si>
  <si>
    <t>Effectifs</t>
  </si>
  <si>
    <t>Borne</t>
  </si>
  <si>
    <t>[0,08;0,14[</t>
  </si>
  <si>
    <t>[0,14;0,19[</t>
  </si>
  <si>
    <t>[0,19;0,25[</t>
  </si>
  <si>
    <t>[0,25;0,315[</t>
  </si>
  <si>
    <t>[0,315;0,355[</t>
  </si>
  <si>
    <t>4) Combien de pays se situent dans l’intervalle d’un écart-type autour de la moyenne ? Calculez le coefficient</t>
  </si>
  <si>
    <t>de variation, le rapport interquartile, l’écart interquartile relatif.</t>
  </si>
  <si>
    <t xml:space="preserve">Calcul de l'intervalle d'un écart-type autour de la moyenne : </t>
  </si>
  <si>
    <t>Borne inférieure</t>
  </si>
  <si>
    <t>Borne supérieure</t>
  </si>
  <si>
    <t>[écart-type autour de la moyenne]</t>
  </si>
  <si>
    <t>Nbre de pays :</t>
  </si>
  <si>
    <t>Ecart interquartile relatif :</t>
  </si>
  <si>
    <t>Coeff de variation :</t>
  </si>
  <si>
    <t>Rapport interquartile :</t>
  </si>
  <si>
    <t>5) On donne les indicateurs similaires calculés pour le revenu national par tête ci-dessous : représentez cette</t>
  </si>
  <si>
    <t>seconde distribution sur une boîte à moustache, toujours en indiquant à part Australie, Canada, États-Unis.</t>
  </si>
  <si>
    <t>RNB par tête</t>
  </si>
  <si>
    <t>Rang</t>
  </si>
  <si>
    <t>6) Calculez la covariance et la corrélation entre les deux variables puis les coefficients de la droite régression</t>
  </si>
  <si>
    <t>des émissions par tête sur le PIB par tête ainsi que le coefficient de détermination. Représentez le nuage de</t>
  </si>
  <si>
    <t>points en ajoutant la droite de régression et à part les 3 pays exclus de l’analyse.</t>
  </si>
  <si>
    <t>Covariance</t>
  </si>
  <si>
    <t>Corrélation</t>
  </si>
  <si>
    <t xml:space="preserve"> = moyenne des carrés - carré de la moyenne</t>
  </si>
  <si>
    <t>Amplitude</t>
  </si>
  <si>
    <t>Covariance = Moyenne des produits – Produit des moyennes</t>
  </si>
  <si>
    <t>Moyennes</t>
  </si>
  <si>
    <t>Produit (XY)</t>
  </si>
  <si>
    <t>kg/$ (X)</t>
  </si>
  <si>
    <t>RNB par tête (Y)</t>
  </si>
  <si>
    <t>Corrélation = Covariance / Produit des écartstypes</t>
  </si>
  <si>
    <t>a</t>
  </si>
  <si>
    <t>b</t>
  </si>
  <si>
    <t>régression linéaire : Y = a⋅X+b ; a = cov(X,Y )/var(X) ; b=moyenne Y − a ⋅ moyenne X</t>
  </si>
  <si>
    <t>RNB carré</t>
  </si>
  <si>
    <t>Appartient ou non à [écart-type autour de la moyenne]</t>
  </si>
  <si>
    <r>
      <t>X</t>
    </r>
    <r>
      <rPr>
        <vertAlign val="superscript"/>
        <sz val="11"/>
        <color theme="1"/>
        <rFont val="Calibri"/>
        <family val="2"/>
        <scheme val="minor"/>
      </rPr>
      <t>2</t>
    </r>
  </si>
  <si>
    <t>Emissions (X)</t>
  </si>
  <si>
    <t>Emissions kg/$</t>
  </si>
  <si>
    <r>
      <t>(X-moyenne)</t>
    </r>
    <r>
      <rPr>
        <vertAlign val="superscript"/>
        <sz val="11"/>
        <color theme="1"/>
        <rFont val="Calibri"/>
        <family val="2"/>
        <scheme val="minor"/>
      </rPr>
      <t>2</t>
    </r>
  </si>
  <si>
    <t>Variance (méthodes 1 et 2) :</t>
  </si>
  <si>
    <t>Densité</t>
  </si>
  <si>
    <t>Rapport interquartile (Q3/Q1) :</t>
  </si>
  <si>
    <t>Ecart interquartile relatif (Q3-Q1)/Med :</t>
  </si>
  <si>
    <t>Coeff de variation (écart type/moyenne) :</t>
  </si>
  <si>
    <t>Nbre de pays dans cet intervalle :</t>
  </si>
  <si>
    <t>Borne inférieure (moyenne - écart type) :</t>
  </si>
  <si>
    <t>Borne supérieure (moyenne + écart type) :</t>
  </si>
  <si>
    <r>
      <t>Coefficient de détermination R</t>
    </r>
    <r>
      <rPr>
        <vertAlign val="super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>=a</t>
    </r>
    <r>
      <rPr>
        <vertAlign val="super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>⋅Var(X)/Var(Y )=corrélation</t>
    </r>
    <r>
      <rPr>
        <vertAlign val="superscript"/>
        <sz val="11"/>
        <color theme="1"/>
        <rFont val="Calibri"/>
        <family val="2"/>
        <scheme val="minor"/>
      </rPr>
      <t>2</t>
    </r>
  </si>
  <si>
    <r>
      <t>R</t>
    </r>
    <r>
      <rPr>
        <vertAlign val="super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(méthode 1 et 2 - privilégiez la 2, plus facile)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</si>
</sst>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0.0000"/>
    <numFmt numFmtId="165" formatCode="_-* #,##0_-;\-* #,##0_-;_-* &quot;-&quot;??_-;_-@_-"/>
    <numFmt numFmtId="166" formatCode="0.000"/>
    <numFmt numFmtId="167" formatCode="_-* #,##0\ _€_-;\-* #,##0\ _€_-;_-* &quot;-&quot;???\ _€_-;_-@_-"/>
    <numFmt numFmtId="168" formatCode="_-* #,##0.00000_-;\-* #,##0.00000_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3">
    <xf numFmtId="0" fontId="0" fillId="0" borderId="0" xfId="0"/>
    <xf numFmtId="0" fontId="0" fillId="2" borderId="0" xfId="0" applyFill="1"/>
    <xf numFmtId="0" fontId="0" fillId="0" borderId="0" xfId="0" applyAlignment="1">
      <alignment horizontal="center"/>
    </xf>
    <xf numFmtId="164" fontId="0" fillId="0" borderId="0" xfId="0" applyNumberFormat="1"/>
    <xf numFmtId="0" fontId="0" fillId="3" borderId="0" xfId="0" applyFill="1"/>
    <xf numFmtId="165" fontId="0" fillId="0" borderId="0" xfId="1" applyNumberFormat="1" applyFont="1"/>
    <xf numFmtId="1" fontId="0" fillId="0" borderId="0" xfId="0" applyNumberFormat="1"/>
    <xf numFmtId="166" fontId="0" fillId="0" borderId="0" xfId="0" applyNumberFormat="1"/>
    <xf numFmtId="165" fontId="0" fillId="0" borderId="0" xfId="0" applyNumberFormat="1"/>
    <xf numFmtId="1" fontId="0" fillId="0" borderId="0" xfId="1" applyNumberFormat="1" applyFont="1"/>
    <xf numFmtId="43" fontId="0" fillId="0" borderId="0" xfId="1" applyFont="1"/>
    <xf numFmtId="167" fontId="0" fillId="0" borderId="0" xfId="0" applyNumberFormat="1"/>
    <xf numFmtId="168" fontId="0" fillId="0" borderId="0" xfId="0" applyNumberFormat="1"/>
    <xf numFmtId="1" fontId="0" fillId="0" borderId="0" xfId="0" applyNumberFormat="1" applyAlignment="1">
      <alignment horizontal="center"/>
    </xf>
    <xf numFmtId="167" fontId="0" fillId="0" borderId="0" xfId="0" applyNumberFormat="1" applyAlignment="1">
      <alignment horizontal="center"/>
    </xf>
    <xf numFmtId="0" fontId="0" fillId="0" borderId="1" xfId="0" applyBorder="1"/>
    <xf numFmtId="10" fontId="0" fillId="0" borderId="0" xfId="2" applyNumberFormat="1" applyFont="1"/>
    <xf numFmtId="0" fontId="0" fillId="4" borderId="0" xfId="0" applyFill="1"/>
    <xf numFmtId="0" fontId="0" fillId="5" borderId="0" xfId="0" applyFill="1"/>
    <xf numFmtId="0" fontId="0" fillId="6" borderId="0" xfId="0" applyFill="1"/>
    <xf numFmtId="0" fontId="3" fillId="4" borderId="0" xfId="0" applyFont="1" applyFill="1"/>
    <xf numFmtId="0" fontId="3" fillId="0" borderId="0" xfId="0" applyFont="1"/>
    <xf numFmtId="165" fontId="3" fillId="0" borderId="0" xfId="1" applyNumberFormat="1" applyFont="1"/>
  </cellXfs>
  <cellStyles count="3">
    <cellStyle name="Milliers" xfId="1" builtinId="3"/>
    <cellStyle name="Normal" xfId="0" builtinId="0"/>
    <cellStyle name="Pourcentag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tx>
            <c:strRef>
              <c:f>'TD2'!$C$108</c:f>
              <c:strCache>
                <c:ptCount val="1"/>
                <c:pt idx="0">
                  <c:v>RNB par tête (Y)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2.8410382035578885E-2"/>
                  <c:y val="-0.34632035578885972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fr-FR"/>
                </a:p>
              </c:txPr>
            </c:trendlineLbl>
          </c:trendline>
          <c:xVal>
            <c:numRef>
              <c:f>'TD2'!$B$109:$B$129</c:f>
              <c:numCache>
                <c:formatCode>General</c:formatCode>
                <c:ptCount val="21"/>
                <c:pt idx="0">
                  <c:v>0.08</c:v>
                </c:pt>
                <c:pt idx="1">
                  <c:v>0.1</c:v>
                </c:pt>
                <c:pt idx="2">
                  <c:v>0.12</c:v>
                </c:pt>
                <c:pt idx="3">
                  <c:v>0.15</c:v>
                </c:pt>
                <c:pt idx="4">
                  <c:v>0.15</c:v>
                </c:pt>
                <c:pt idx="5">
                  <c:v>0.16</c:v>
                </c:pt>
                <c:pt idx="6">
                  <c:v>0.16</c:v>
                </c:pt>
                <c:pt idx="7">
                  <c:v>0.17</c:v>
                </c:pt>
                <c:pt idx="8">
                  <c:v>0.18</c:v>
                </c:pt>
                <c:pt idx="9">
                  <c:v>0.2</c:v>
                </c:pt>
                <c:pt idx="10">
                  <c:v>0.2</c:v>
                </c:pt>
                <c:pt idx="11">
                  <c:v>0.21</c:v>
                </c:pt>
                <c:pt idx="12">
                  <c:v>0.22</c:v>
                </c:pt>
                <c:pt idx="13">
                  <c:v>0.22</c:v>
                </c:pt>
                <c:pt idx="14">
                  <c:v>0.22</c:v>
                </c:pt>
                <c:pt idx="15">
                  <c:v>0.23</c:v>
                </c:pt>
                <c:pt idx="16">
                  <c:v>0.26</c:v>
                </c:pt>
                <c:pt idx="17">
                  <c:v>0.26</c:v>
                </c:pt>
                <c:pt idx="18">
                  <c:v>0.31</c:v>
                </c:pt>
                <c:pt idx="19">
                  <c:v>0.31</c:v>
                </c:pt>
                <c:pt idx="20">
                  <c:v>0.35</c:v>
                </c:pt>
              </c:numCache>
            </c:numRef>
          </c:xVal>
          <c:yVal>
            <c:numRef>
              <c:f>'TD2'!$C$109:$C$129</c:f>
              <c:numCache>
                <c:formatCode>_-* #\ ##0_-;\-* #\ ##0_-;_-* "-"??_-;_-@_-</c:formatCode>
                <c:ptCount val="21"/>
                <c:pt idx="0">
                  <c:v>57472</c:v>
                </c:pt>
                <c:pt idx="1">
                  <c:v>45149</c:v>
                </c:pt>
                <c:pt idx="2">
                  <c:v>38085</c:v>
                </c:pt>
                <c:pt idx="3">
                  <c:v>42071</c:v>
                </c:pt>
                <c:pt idx="4">
                  <c:v>65684</c:v>
                </c:pt>
                <c:pt idx="5">
                  <c:v>31088</c:v>
                </c:pt>
                <c:pt idx="6">
                  <c:v>33946</c:v>
                </c:pt>
                <c:pt idx="7">
                  <c:v>37598</c:v>
                </c:pt>
                <c:pt idx="8">
                  <c:v>23034</c:v>
                </c:pt>
                <c:pt idx="9">
                  <c:v>44429</c:v>
                </c:pt>
                <c:pt idx="10">
                  <c:v>22203</c:v>
                </c:pt>
                <c:pt idx="11">
                  <c:v>26808</c:v>
                </c:pt>
                <c:pt idx="12">
                  <c:v>39372</c:v>
                </c:pt>
                <c:pt idx="13">
                  <c:v>32999</c:v>
                </c:pt>
                <c:pt idx="14">
                  <c:v>45557</c:v>
                </c:pt>
                <c:pt idx="15">
                  <c:v>16292</c:v>
                </c:pt>
                <c:pt idx="16">
                  <c:v>24131</c:v>
                </c:pt>
                <c:pt idx="17">
                  <c:v>38675</c:v>
                </c:pt>
                <c:pt idx="18">
                  <c:v>23514</c:v>
                </c:pt>
                <c:pt idx="19">
                  <c:v>27113</c:v>
                </c:pt>
                <c:pt idx="20">
                  <c:v>33534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9DFC-4371-B92A-188F6E06DE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75660080"/>
        <c:axId val="1239422896"/>
      </c:scatterChart>
      <c:valAx>
        <c:axId val="137566008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fr-FR"/>
                  <a:t>Emission de carbone en kg/$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239422896"/>
        <c:crosses val="autoZero"/>
        <c:crossBetween val="midCat"/>
      </c:valAx>
      <c:valAx>
        <c:axId val="12394228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fr-FR"/>
                  <a:t>RNB par</a:t>
                </a:r>
                <a:r>
                  <a:rPr lang="fr-FR" baseline="0"/>
                  <a:t> tête</a:t>
                </a:r>
                <a:endParaRPr lang="fr-FR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_-* #\ ##0_-;\-* #\ ##0_-;_-* &quot;-&quot;??_-;_-@_-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375660080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40</xdr:row>
      <xdr:rowOff>123825</xdr:rowOff>
    </xdr:from>
    <xdr:to>
      <xdr:col>0</xdr:col>
      <xdr:colOff>1676400</xdr:colOff>
      <xdr:row>44</xdr:row>
      <xdr:rowOff>0</xdr:rowOff>
    </xdr:to>
    <xdr:pic>
      <xdr:nvPicPr>
        <xdr:cNvPr id="2" name="Image 1" descr="Démonstration formule variance (problème avec l'algèbre)">
          <a:extLst>
            <a:ext uri="{FF2B5EF4-FFF2-40B4-BE49-F238E27FC236}">
              <a16:creationId xmlns:a16="http://schemas.microsoft.com/office/drawing/2014/main" id="{59D4FE7C-E153-13C2-1B27-CCAEB27CB0B4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522" r="51063" b="62500"/>
        <a:stretch/>
      </xdr:blipFill>
      <xdr:spPr bwMode="auto">
        <a:xfrm>
          <a:off x="85725" y="7743825"/>
          <a:ext cx="1590675" cy="628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29727</xdr:colOff>
      <xdr:row>44</xdr:row>
      <xdr:rowOff>32616</xdr:rowOff>
    </xdr:from>
    <xdr:to>
      <xdr:col>6</xdr:col>
      <xdr:colOff>941821</xdr:colOff>
      <xdr:row>49</xdr:row>
      <xdr:rowOff>75477</xdr:rowOff>
    </xdr:to>
    <xdr:pic>
      <xdr:nvPicPr>
        <xdr:cNvPr id="3" name="Image 2" descr="4.5.2 Visualiser la boîte à moustaches">
          <a:extLst>
            <a:ext uri="{FF2B5EF4-FFF2-40B4-BE49-F238E27FC236}">
              <a16:creationId xmlns:a16="http://schemas.microsoft.com/office/drawing/2014/main" id="{1B52331D-BB16-D39E-F453-EE9C00A20738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831" t="10895" r="2200" b="4457"/>
        <a:stretch/>
      </xdr:blipFill>
      <xdr:spPr bwMode="auto">
        <a:xfrm>
          <a:off x="6567341" y="8302048"/>
          <a:ext cx="3206753" cy="97616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9525</xdr:colOff>
      <xdr:row>145</xdr:row>
      <xdr:rowOff>128587</xdr:rowOff>
    </xdr:from>
    <xdr:to>
      <xdr:col>5</xdr:col>
      <xdr:colOff>581025</xdr:colOff>
      <xdr:row>160</xdr:row>
      <xdr:rowOff>14287</xdr:rowOff>
    </xdr:to>
    <xdr:graphicFrame macro="">
      <xdr:nvGraphicFramePr>
        <xdr:cNvPr id="7" name="Graphique 6">
          <a:extLst>
            <a:ext uri="{FF2B5EF4-FFF2-40B4-BE49-F238E27FC236}">
              <a16:creationId xmlns:a16="http://schemas.microsoft.com/office/drawing/2014/main" id="{198C0594-5110-475E-7D55-EB0F1E4BF99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hème Office 2013 –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2F176C-15BA-42FC-BBB7-BFAAFAAA7EE0}">
  <dimension ref="A1:K144"/>
  <sheetViews>
    <sheetView tabSelected="1" zoomScale="71" zoomScaleNormal="97" workbookViewId="0">
      <selection activeCell="I80" sqref="I80"/>
    </sheetView>
  </sheetViews>
  <sheetFormatPr baseColWidth="10" defaultColWidth="10.6328125" defaultRowHeight="14.75" x14ac:dyDescent="0.75"/>
  <cols>
    <col min="1" max="1" width="42.453125" customWidth="1"/>
    <col min="2" max="2" width="15.08984375" customWidth="1"/>
    <col min="3" max="3" width="16.453125" customWidth="1"/>
    <col min="4" max="4" width="17.08984375" customWidth="1"/>
    <col min="5" max="5" width="16.6328125" customWidth="1"/>
    <col min="6" max="6" width="15.36328125" customWidth="1"/>
    <col min="7" max="7" width="22.54296875" customWidth="1"/>
    <col min="8" max="8" width="17.81640625" customWidth="1"/>
    <col min="9" max="9" width="32.54296875" customWidth="1"/>
    <col min="10" max="10" width="17.08984375" customWidth="1"/>
    <col min="11" max="11" width="16.453125" bestFit="1" customWidth="1"/>
  </cols>
  <sheetData>
    <row r="1" spans="1:10" ht="16.75" x14ac:dyDescent="0.75">
      <c r="B1" s="2" t="s">
        <v>81</v>
      </c>
      <c r="C1" s="2" t="s">
        <v>59</v>
      </c>
      <c r="E1" s="2" t="s">
        <v>60</v>
      </c>
      <c r="F1" s="2" t="s">
        <v>33</v>
      </c>
      <c r="G1" s="2" t="s">
        <v>80</v>
      </c>
      <c r="H1" s="2" t="s">
        <v>82</v>
      </c>
      <c r="I1" s="2" t="s">
        <v>78</v>
      </c>
      <c r="J1" s="2" t="s">
        <v>79</v>
      </c>
    </row>
    <row r="2" spans="1:10" x14ac:dyDescent="0.75">
      <c r="A2" t="s">
        <v>0</v>
      </c>
      <c r="B2">
        <v>0.08</v>
      </c>
      <c r="C2" s="5">
        <v>57472</v>
      </c>
      <c r="E2">
        <v>1</v>
      </c>
      <c r="F2" t="s">
        <v>0</v>
      </c>
      <c r="G2">
        <v>0.08</v>
      </c>
      <c r="H2" s="3">
        <f>(G2-$G$24)^2</f>
        <v>1.5093877551020405E-2</v>
      </c>
      <c r="I2">
        <f>IF(G2&lt;$B$67,0,1)-IF(G2&gt;$B$68,1,0)</f>
        <v>0</v>
      </c>
      <c r="J2">
        <f>G2*G2</f>
        <v>6.4000000000000003E-3</v>
      </c>
    </row>
    <row r="3" spans="1:10" x14ac:dyDescent="0.75">
      <c r="A3" t="s">
        <v>1</v>
      </c>
      <c r="B3">
        <v>0.1</v>
      </c>
      <c r="C3" s="5">
        <v>45149</v>
      </c>
      <c r="E3">
        <v>2</v>
      </c>
      <c r="F3" t="s">
        <v>1</v>
      </c>
      <c r="G3">
        <v>0.1</v>
      </c>
      <c r="H3" s="3">
        <f>(G3-$G$24)^2</f>
        <v>1.0579591836734691E-2</v>
      </c>
      <c r="I3">
        <f t="shared" ref="I3:I22" si="0">IF(G3&lt;$B$67,0,1)-IF(G3&gt;$B$68,1,0)</f>
        <v>0</v>
      </c>
      <c r="J3">
        <f t="shared" ref="J3:J22" si="1">G3*G3</f>
        <v>1.0000000000000002E-2</v>
      </c>
    </row>
    <row r="4" spans="1:10" x14ac:dyDescent="0.75">
      <c r="A4" t="s">
        <v>2</v>
      </c>
      <c r="B4">
        <v>0.12</v>
      </c>
      <c r="C4" s="5">
        <v>38085</v>
      </c>
      <c r="E4">
        <v>3</v>
      </c>
      <c r="F4" t="s">
        <v>2</v>
      </c>
      <c r="G4">
        <v>0.12</v>
      </c>
      <c r="H4" s="3">
        <f t="shared" ref="H4:H22" si="2">(G4-$G$24)^2</f>
        <v>6.8653061224489787E-3</v>
      </c>
      <c r="I4">
        <f t="shared" si="0"/>
        <v>0</v>
      </c>
      <c r="J4">
        <f t="shared" si="1"/>
        <v>1.44E-2</v>
      </c>
    </row>
    <row r="5" spans="1:10" x14ac:dyDescent="0.75">
      <c r="A5" t="s">
        <v>3</v>
      </c>
      <c r="B5">
        <v>0.15</v>
      </c>
      <c r="C5" s="5">
        <v>42071</v>
      </c>
      <c r="E5">
        <v>4</v>
      </c>
      <c r="F5" t="s">
        <v>3</v>
      </c>
      <c r="G5">
        <v>0.15</v>
      </c>
      <c r="H5" s="3">
        <f t="shared" si="2"/>
        <v>2.7938775510204079E-3</v>
      </c>
      <c r="I5">
        <f t="shared" si="0"/>
        <v>1</v>
      </c>
      <c r="J5">
        <f t="shared" si="1"/>
        <v>2.2499999999999999E-2</v>
      </c>
    </row>
    <row r="6" spans="1:10" x14ac:dyDescent="0.75">
      <c r="A6" t="s">
        <v>4</v>
      </c>
      <c r="B6">
        <v>0.15</v>
      </c>
      <c r="C6" s="5">
        <v>65684</v>
      </c>
      <c r="E6">
        <v>5</v>
      </c>
      <c r="F6" t="s">
        <v>4</v>
      </c>
      <c r="G6">
        <v>0.15</v>
      </c>
      <c r="H6" s="3">
        <f t="shared" si="2"/>
        <v>2.7938775510204079E-3</v>
      </c>
      <c r="I6">
        <f t="shared" si="0"/>
        <v>1</v>
      </c>
      <c r="J6">
        <f t="shared" si="1"/>
        <v>2.2499999999999999E-2</v>
      </c>
    </row>
    <row r="7" spans="1:10" x14ac:dyDescent="0.75">
      <c r="A7" t="s">
        <v>5</v>
      </c>
      <c r="B7">
        <v>0.16</v>
      </c>
      <c r="C7" s="5">
        <v>31088</v>
      </c>
      <c r="E7" s="18">
        <v>6</v>
      </c>
      <c r="F7" s="18" t="s">
        <v>5</v>
      </c>
      <c r="G7" s="18">
        <v>0.16</v>
      </c>
      <c r="H7" s="3">
        <f t="shared" si="2"/>
        <v>1.8367346938775498E-3</v>
      </c>
      <c r="I7">
        <f t="shared" si="0"/>
        <v>1</v>
      </c>
      <c r="J7">
        <f t="shared" si="1"/>
        <v>2.5600000000000001E-2</v>
      </c>
    </row>
    <row r="8" spans="1:10" x14ac:dyDescent="0.75">
      <c r="A8" t="s">
        <v>6</v>
      </c>
      <c r="B8">
        <v>0.16</v>
      </c>
      <c r="C8" s="5">
        <v>33946</v>
      </c>
      <c r="E8">
        <v>7</v>
      </c>
      <c r="F8" t="s">
        <v>6</v>
      </c>
      <c r="G8">
        <v>0.16</v>
      </c>
      <c r="H8" s="3">
        <f t="shared" si="2"/>
        <v>1.8367346938775498E-3</v>
      </c>
      <c r="I8">
        <f t="shared" si="0"/>
        <v>1</v>
      </c>
      <c r="J8">
        <f t="shared" si="1"/>
        <v>2.5600000000000001E-2</v>
      </c>
    </row>
    <row r="9" spans="1:10" x14ac:dyDescent="0.75">
      <c r="A9" t="s">
        <v>7</v>
      </c>
      <c r="B9">
        <v>0.17</v>
      </c>
      <c r="C9" s="5">
        <v>37598</v>
      </c>
      <c r="E9">
        <v>8</v>
      </c>
      <c r="F9" t="s">
        <v>7</v>
      </c>
      <c r="G9">
        <v>0.17</v>
      </c>
      <c r="H9" s="3">
        <f t="shared" si="2"/>
        <v>1.0795918367346924E-3</v>
      </c>
      <c r="I9">
        <f t="shared" si="0"/>
        <v>1</v>
      </c>
      <c r="J9">
        <f t="shared" si="1"/>
        <v>2.8900000000000006E-2</v>
      </c>
    </row>
    <row r="10" spans="1:10" x14ac:dyDescent="0.75">
      <c r="A10" t="s">
        <v>8</v>
      </c>
      <c r="B10">
        <v>0.18</v>
      </c>
      <c r="C10" s="5">
        <v>23034</v>
      </c>
      <c r="E10">
        <v>9</v>
      </c>
      <c r="F10" t="s">
        <v>8</v>
      </c>
      <c r="G10">
        <v>0.18</v>
      </c>
      <c r="H10" s="3">
        <f t="shared" si="2"/>
        <v>5.2244897959183658E-4</v>
      </c>
      <c r="I10">
        <f t="shared" si="0"/>
        <v>1</v>
      </c>
      <c r="J10">
        <f t="shared" si="1"/>
        <v>3.2399999999999998E-2</v>
      </c>
    </row>
    <row r="11" spans="1:10" x14ac:dyDescent="0.75">
      <c r="A11" t="s">
        <v>9</v>
      </c>
      <c r="B11">
        <v>0.2</v>
      </c>
      <c r="C11" s="5">
        <v>44429</v>
      </c>
      <c r="E11">
        <v>10</v>
      </c>
      <c r="F11" t="s">
        <v>9</v>
      </c>
      <c r="G11">
        <v>0.2</v>
      </c>
      <c r="H11" s="3">
        <f t="shared" si="2"/>
        <v>8.1632653061223281E-6</v>
      </c>
      <c r="I11">
        <f t="shared" si="0"/>
        <v>1</v>
      </c>
      <c r="J11">
        <f t="shared" si="1"/>
        <v>4.0000000000000008E-2</v>
      </c>
    </row>
    <row r="12" spans="1:10" x14ac:dyDescent="0.75">
      <c r="A12" t="s">
        <v>10</v>
      </c>
      <c r="B12">
        <v>0.2</v>
      </c>
      <c r="C12" s="5">
        <v>22203</v>
      </c>
      <c r="E12" s="19">
        <v>11</v>
      </c>
      <c r="F12" s="19" t="s">
        <v>10</v>
      </c>
      <c r="G12" s="19">
        <v>0.2</v>
      </c>
      <c r="H12" s="3">
        <f t="shared" si="2"/>
        <v>8.1632653061223281E-6</v>
      </c>
      <c r="I12">
        <f t="shared" si="0"/>
        <v>1</v>
      </c>
      <c r="J12">
        <f t="shared" si="1"/>
        <v>4.0000000000000008E-2</v>
      </c>
    </row>
    <row r="13" spans="1:10" x14ac:dyDescent="0.75">
      <c r="A13" t="s">
        <v>11</v>
      </c>
      <c r="B13">
        <v>0.21</v>
      </c>
      <c r="C13" s="5">
        <v>26808</v>
      </c>
      <c r="E13">
        <v>12</v>
      </c>
      <c r="F13" t="s">
        <v>11</v>
      </c>
      <c r="G13">
        <v>0.21</v>
      </c>
      <c r="H13" s="3">
        <f t="shared" si="2"/>
        <v>5.1020408163265342E-5</v>
      </c>
      <c r="I13">
        <f t="shared" si="0"/>
        <v>1</v>
      </c>
      <c r="J13">
        <f t="shared" si="1"/>
        <v>4.4099999999999993E-2</v>
      </c>
    </row>
    <row r="14" spans="1:10" x14ac:dyDescent="0.75">
      <c r="A14" t="s">
        <v>12</v>
      </c>
      <c r="B14">
        <v>0.22</v>
      </c>
      <c r="C14" s="5">
        <v>39372</v>
      </c>
      <c r="E14">
        <v>13</v>
      </c>
      <c r="F14" t="s">
        <v>12</v>
      </c>
      <c r="G14">
        <v>0.22</v>
      </c>
      <c r="H14" s="3">
        <f t="shared" si="2"/>
        <v>2.9387755102040856E-4</v>
      </c>
      <c r="I14">
        <f t="shared" si="0"/>
        <v>1</v>
      </c>
      <c r="J14">
        <f t="shared" si="1"/>
        <v>4.8399999999999999E-2</v>
      </c>
    </row>
    <row r="15" spans="1:10" x14ac:dyDescent="0.75">
      <c r="A15" t="s">
        <v>13</v>
      </c>
      <c r="B15">
        <v>0.22</v>
      </c>
      <c r="C15" s="5">
        <v>32999</v>
      </c>
      <c r="E15">
        <v>14</v>
      </c>
      <c r="F15" t="s">
        <v>13</v>
      </c>
      <c r="G15">
        <v>0.22</v>
      </c>
      <c r="H15" s="3">
        <f t="shared" si="2"/>
        <v>2.9387755102040856E-4</v>
      </c>
      <c r="I15">
        <f t="shared" si="0"/>
        <v>1</v>
      </c>
      <c r="J15">
        <f t="shared" si="1"/>
        <v>4.8399999999999999E-2</v>
      </c>
    </row>
    <row r="16" spans="1:10" x14ac:dyDescent="0.75">
      <c r="A16" t="s">
        <v>14</v>
      </c>
      <c r="B16">
        <v>0.22</v>
      </c>
      <c r="C16" s="5">
        <v>45557</v>
      </c>
      <c r="E16">
        <v>15</v>
      </c>
      <c r="F16" t="s">
        <v>14</v>
      </c>
      <c r="G16">
        <v>0.22</v>
      </c>
      <c r="H16" s="3">
        <f t="shared" si="2"/>
        <v>2.9387755102040856E-4</v>
      </c>
      <c r="I16">
        <f t="shared" si="0"/>
        <v>1</v>
      </c>
      <c r="J16">
        <f t="shared" si="1"/>
        <v>4.8399999999999999E-2</v>
      </c>
    </row>
    <row r="17" spans="1:10" x14ac:dyDescent="0.75">
      <c r="A17" t="s">
        <v>15</v>
      </c>
      <c r="B17">
        <v>0.23</v>
      </c>
      <c r="C17" s="5">
        <v>16292</v>
      </c>
      <c r="E17" s="18">
        <v>16</v>
      </c>
      <c r="F17" s="18" t="s">
        <v>15</v>
      </c>
      <c r="G17" s="18">
        <v>0.23</v>
      </c>
      <c r="H17" s="3">
        <f t="shared" si="2"/>
        <v>7.3673469387755216E-4</v>
      </c>
      <c r="I17">
        <f t="shared" si="0"/>
        <v>1</v>
      </c>
      <c r="J17">
        <f t="shared" si="1"/>
        <v>5.2900000000000003E-2</v>
      </c>
    </row>
    <row r="18" spans="1:10" x14ac:dyDescent="0.75">
      <c r="A18" t="s">
        <v>16</v>
      </c>
      <c r="B18">
        <v>0.26</v>
      </c>
      <c r="C18" s="5">
        <v>24131</v>
      </c>
      <c r="E18">
        <v>17</v>
      </c>
      <c r="F18" t="s">
        <v>16</v>
      </c>
      <c r="G18">
        <v>0.26</v>
      </c>
      <c r="H18" s="3">
        <f t="shared" si="2"/>
        <v>3.2653061224489819E-3</v>
      </c>
      <c r="I18">
        <f t="shared" si="0"/>
        <v>1</v>
      </c>
      <c r="J18">
        <f t="shared" si="1"/>
        <v>6.7600000000000007E-2</v>
      </c>
    </row>
    <row r="19" spans="1:10" x14ac:dyDescent="0.75">
      <c r="A19" t="s">
        <v>17</v>
      </c>
      <c r="B19">
        <v>0.26</v>
      </c>
      <c r="C19" s="5">
        <v>38675</v>
      </c>
      <c r="E19">
        <v>18</v>
      </c>
      <c r="F19" t="s">
        <v>17</v>
      </c>
      <c r="G19">
        <v>0.26</v>
      </c>
      <c r="H19" s="3">
        <f t="shared" si="2"/>
        <v>3.2653061224489819E-3</v>
      </c>
      <c r="I19">
        <f t="shared" si="0"/>
        <v>1</v>
      </c>
      <c r="J19">
        <f t="shared" si="1"/>
        <v>6.7600000000000007E-2</v>
      </c>
    </row>
    <row r="20" spans="1:10" x14ac:dyDescent="0.75">
      <c r="A20" t="s">
        <v>18</v>
      </c>
      <c r="B20">
        <v>0.31</v>
      </c>
      <c r="C20" s="5">
        <v>23514</v>
      </c>
      <c r="E20">
        <v>19</v>
      </c>
      <c r="F20" t="s">
        <v>18</v>
      </c>
      <c r="G20">
        <v>0.31</v>
      </c>
      <c r="H20" s="3">
        <f t="shared" si="2"/>
        <v>1.1479591836734696E-2</v>
      </c>
      <c r="I20">
        <f t="shared" si="0"/>
        <v>0</v>
      </c>
      <c r="J20">
        <f t="shared" si="1"/>
        <v>9.6100000000000005E-2</v>
      </c>
    </row>
    <row r="21" spans="1:10" x14ac:dyDescent="0.75">
      <c r="A21" t="s">
        <v>19</v>
      </c>
      <c r="B21">
        <v>0.31</v>
      </c>
      <c r="C21" s="5">
        <v>27113</v>
      </c>
      <c r="E21">
        <v>20</v>
      </c>
      <c r="F21" t="s">
        <v>19</v>
      </c>
      <c r="G21">
        <v>0.31</v>
      </c>
      <c r="H21" s="3">
        <f t="shared" si="2"/>
        <v>1.1479591836734696E-2</v>
      </c>
      <c r="I21">
        <f t="shared" si="0"/>
        <v>0</v>
      </c>
      <c r="J21">
        <f t="shared" si="1"/>
        <v>9.6100000000000005E-2</v>
      </c>
    </row>
    <row r="22" spans="1:10" x14ac:dyDescent="0.75">
      <c r="A22" s="21" t="s">
        <v>20</v>
      </c>
      <c r="B22" s="21">
        <v>0.32</v>
      </c>
      <c r="C22" s="22">
        <v>52752</v>
      </c>
      <c r="E22">
        <v>21</v>
      </c>
      <c r="F22" t="s">
        <v>23</v>
      </c>
      <c r="G22">
        <v>0.35</v>
      </c>
      <c r="H22" s="3">
        <f t="shared" si="2"/>
        <v>2.165102040816326E-2</v>
      </c>
      <c r="I22">
        <f t="shared" si="0"/>
        <v>0</v>
      </c>
      <c r="J22">
        <f t="shared" si="1"/>
        <v>0.12249999999999998</v>
      </c>
    </row>
    <row r="23" spans="1:10" x14ac:dyDescent="0.75">
      <c r="A23" s="21" t="s">
        <v>21</v>
      </c>
      <c r="B23" s="21">
        <v>0.65</v>
      </c>
      <c r="C23" s="22">
        <v>42490</v>
      </c>
    </row>
    <row r="24" spans="1:10" x14ac:dyDescent="0.75">
      <c r="A24" s="21" t="s">
        <v>22</v>
      </c>
      <c r="B24" s="21">
        <v>0.65</v>
      </c>
      <c r="C24" s="22">
        <v>42383</v>
      </c>
      <c r="F24" s="20" t="s">
        <v>24</v>
      </c>
      <c r="G24" s="21">
        <f>AVERAGE(G2:G22)</f>
        <v>0.20285714285714285</v>
      </c>
      <c r="H24" s="21">
        <f>SUM(G2:G22)/E22</f>
        <v>0.20285714285714285</v>
      </c>
      <c r="I24" s="21"/>
      <c r="J24" s="21">
        <f>AVERAGE(J2:J22)</f>
        <v>4.5733333333333327E-2</v>
      </c>
    </row>
    <row r="25" spans="1:10" x14ac:dyDescent="0.75">
      <c r="A25" t="s">
        <v>23</v>
      </c>
      <c r="B25">
        <v>0.35</v>
      </c>
      <c r="C25" s="5">
        <v>33534</v>
      </c>
      <c r="F25" s="17" t="s">
        <v>25</v>
      </c>
      <c r="G25">
        <v>0.2</v>
      </c>
    </row>
    <row r="26" spans="1:10" x14ac:dyDescent="0.75">
      <c r="B26">
        <f>AVERAGE(B2:B21,B25)</f>
        <v>0.20285714285714285</v>
      </c>
      <c r="F26" s="17" t="s">
        <v>26</v>
      </c>
      <c r="G26">
        <f>SUM(H2:H22)/21</f>
        <v>4.5823129251700689E-3</v>
      </c>
    </row>
    <row r="27" spans="1:10" x14ac:dyDescent="0.75">
      <c r="F27" s="17" t="s">
        <v>30</v>
      </c>
      <c r="G27">
        <f>SQRT(G26)</f>
        <v>6.7692783405397569E-2</v>
      </c>
      <c r="I27">
        <f>0.75*21</f>
        <v>15.75</v>
      </c>
      <c r="J27">
        <f>21-I27</f>
        <v>5.25</v>
      </c>
    </row>
    <row r="32" spans="1:10" x14ac:dyDescent="0.75">
      <c r="A32" t="s">
        <v>31</v>
      </c>
    </row>
    <row r="33" spans="1:3" x14ac:dyDescent="0.75">
      <c r="A33" t="s">
        <v>32</v>
      </c>
    </row>
    <row r="35" spans="1:3" x14ac:dyDescent="0.75">
      <c r="A35" t="s">
        <v>24</v>
      </c>
      <c r="B35">
        <f>AVERAGE(G2:G22)</f>
        <v>0.20285714285714285</v>
      </c>
    </row>
    <row r="36" spans="1:3" x14ac:dyDescent="0.75">
      <c r="A36" s="1" t="s">
        <v>25</v>
      </c>
      <c r="B36">
        <f>G12</f>
        <v>0.2</v>
      </c>
    </row>
    <row r="38" spans="1:3" x14ac:dyDescent="0.75">
      <c r="A38" t="s">
        <v>34</v>
      </c>
    </row>
    <row r="39" spans="1:3" x14ac:dyDescent="0.75">
      <c r="A39" t="s">
        <v>35</v>
      </c>
    </row>
    <row r="40" spans="1:3" x14ac:dyDescent="0.75">
      <c r="A40" t="s">
        <v>36</v>
      </c>
    </row>
    <row r="43" spans="1:3" x14ac:dyDescent="0.75">
      <c r="B43" t="s">
        <v>66</v>
      </c>
    </row>
    <row r="46" spans="1:3" x14ac:dyDescent="0.75">
      <c r="A46" t="s">
        <v>83</v>
      </c>
      <c r="B46">
        <f>SUM(H2:H22)/21</f>
        <v>4.5823129251700689E-3</v>
      </c>
      <c r="C46">
        <f>J24-B35*B35</f>
        <v>4.5823129251700637E-3</v>
      </c>
    </row>
    <row r="47" spans="1:3" x14ac:dyDescent="0.75">
      <c r="A47" t="s">
        <v>30</v>
      </c>
      <c r="B47">
        <f>SQRT(B46)</f>
        <v>6.7692783405397569E-2</v>
      </c>
    </row>
    <row r="48" spans="1:3" x14ac:dyDescent="0.75">
      <c r="A48" s="4" t="s">
        <v>27</v>
      </c>
      <c r="B48">
        <f>_xlfn.QUARTILE.INC(G2:G22,1)</f>
        <v>0.16</v>
      </c>
    </row>
    <row r="49" spans="1:4" x14ac:dyDescent="0.75">
      <c r="A49" s="4" t="s">
        <v>28</v>
      </c>
      <c r="B49">
        <f>_xlfn.QUARTILE.INC(G2:G22,3)</f>
        <v>0.23</v>
      </c>
    </row>
    <row r="50" spans="1:4" x14ac:dyDescent="0.75">
      <c r="A50" t="s">
        <v>29</v>
      </c>
      <c r="B50">
        <f>B49-B48</f>
        <v>7.0000000000000007E-2</v>
      </c>
    </row>
    <row r="52" spans="1:4" x14ac:dyDescent="0.75">
      <c r="A52" t="s">
        <v>38</v>
      </c>
    </row>
    <row r="53" spans="1:4" x14ac:dyDescent="0.75">
      <c r="A53" t="s">
        <v>39</v>
      </c>
    </row>
    <row r="55" spans="1:4" x14ac:dyDescent="0.75">
      <c r="A55" t="s">
        <v>41</v>
      </c>
      <c r="B55" s="2" t="s">
        <v>40</v>
      </c>
      <c r="C55" s="2" t="s">
        <v>67</v>
      </c>
      <c r="D55" s="2" t="s">
        <v>84</v>
      </c>
    </row>
    <row r="56" spans="1:4" x14ac:dyDescent="0.75">
      <c r="A56" t="s">
        <v>42</v>
      </c>
      <c r="B56">
        <v>3</v>
      </c>
      <c r="C56">
        <f>0.14-0.08</f>
        <v>6.0000000000000012E-2</v>
      </c>
      <c r="D56">
        <f>B56/C56</f>
        <v>49.999999999999993</v>
      </c>
    </row>
    <row r="57" spans="1:4" x14ac:dyDescent="0.75">
      <c r="A57" t="s">
        <v>43</v>
      </c>
      <c r="B57">
        <v>6</v>
      </c>
      <c r="C57">
        <f>0.19-0.14</f>
        <v>4.9999999999999989E-2</v>
      </c>
      <c r="D57">
        <f>B57/C57</f>
        <v>120.00000000000003</v>
      </c>
    </row>
    <row r="58" spans="1:4" x14ac:dyDescent="0.75">
      <c r="A58" t="s">
        <v>44</v>
      </c>
      <c r="B58">
        <v>7</v>
      </c>
      <c r="C58">
        <f>0.25-0.19</f>
        <v>0.06</v>
      </c>
      <c r="D58" s="6">
        <f t="shared" ref="D58:D60" si="3">B58/C58</f>
        <v>116.66666666666667</v>
      </c>
    </row>
    <row r="59" spans="1:4" x14ac:dyDescent="0.75">
      <c r="A59" t="s">
        <v>45</v>
      </c>
      <c r="B59">
        <v>4</v>
      </c>
      <c r="C59">
        <f>0.315-0.25</f>
        <v>6.5000000000000002E-2</v>
      </c>
      <c r="D59" s="6">
        <f t="shared" si="3"/>
        <v>61.538461538461533</v>
      </c>
    </row>
    <row r="60" spans="1:4" x14ac:dyDescent="0.75">
      <c r="A60" t="s">
        <v>46</v>
      </c>
      <c r="B60">
        <v>1</v>
      </c>
      <c r="C60">
        <f>0.355-0.315</f>
        <v>3.999999999999998E-2</v>
      </c>
      <c r="D60">
        <f t="shared" si="3"/>
        <v>25.000000000000014</v>
      </c>
    </row>
    <row r="61" spans="1:4" x14ac:dyDescent="0.75">
      <c r="B61">
        <f>SUM(B56:B60)</f>
        <v>21</v>
      </c>
    </row>
    <row r="63" spans="1:4" x14ac:dyDescent="0.75">
      <c r="A63" t="s">
        <v>47</v>
      </c>
    </row>
    <row r="64" spans="1:4" x14ac:dyDescent="0.75">
      <c r="A64" t="s">
        <v>48</v>
      </c>
    </row>
    <row r="66" spans="1:11" x14ac:dyDescent="0.75">
      <c r="A66" t="s">
        <v>49</v>
      </c>
    </row>
    <row r="67" spans="1:11" x14ac:dyDescent="0.75">
      <c r="A67" t="s">
        <v>89</v>
      </c>
      <c r="B67">
        <f>B35-B47</f>
        <v>0.13516435945174526</v>
      </c>
    </row>
    <row r="68" spans="1:11" x14ac:dyDescent="0.75">
      <c r="A68" t="s">
        <v>90</v>
      </c>
      <c r="B68">
        <f>B35+B47</f>
        <v>0.27054992626254043</v>
      </c>
    </row>
    <row r="70" spans="1:11" x14ac:dyDescent="0.75">
      <c r="A70" t="s">
        <v>88</v>
      </c>
      <c r="B70">
        <f>SUM(I2:I22)</f>
        <v>15</v>
      </c>
    </row>
    <row r="71" spans="1:11" x14ac:dyDescent="0.75">
      <c r="A71" t="s">
        <v>87</v>
      </c>
      <c r="B71">
        <f>B47/B35</f>
        <v>0.33369681960407255</v>
      </c>
      <c r="C71">
        <f>B71*0.2</f>
        <v>6.6739363920814518E-2</v>
      </c>
    </row>
    <row r="72" spans="1:11" x14ac:dyDescent="0.75">
      <c r="A72" t="s">
        <v>85</v>
      </c>
      <c r="B72">
        <f>B49/B48</f>
        <v>1.4375</v>
      </c>
    </row>
    <row r="73" spans="1:11" x14ac:dyDescent="0.75">
      <c r="A73" t="s">
        <v>86</v>
      </c>
      <c r="B73">
        <f>(B49-B48)/B36</f>
        <v>0.35000000000000003</v>
      </c>
    </row>
    <row r="75" spans="1:11" x14ac:dyDescent="0.75">
      <c r="A75" t="s">
        <v>57</v>
      </c>
    </row>
    <row r="76" spans="1:11" x14ac:dyDescent="0.75">
      <c r="A76" t="s">
        <v>58</v>
      </c>
    </row>
    <row r="77" spans="1:11" ht="15.5" thickBot="1" x14ac:dyDescent="0.9"/>
    <row r="78" spans="1:11" ht="17.5" thickBot="1" x14ac:dyDescent="0.9">
      <c r="A78" t="s">
        <v>33</v>
      </c>
      <c r="B78" t="s">
        <v>59</v>
      </c>
      <c r="C78" t="s">
        <v>60</v>
      </c>
      <c r="D78" t="s">
        <v>33</v>
      </c>
      <c r="E78" t="s">
        <v>59</v>
      </c>
      <c r="F78" s="2" t="s">
        <v>37</v>
      </c>
      <c r="G78" s="2" t="s">
        <v>52</v>
      </c>
      <c r="H78" t="s">
        <v>77</v>
      </c>
      <c r="I78" s="15" t="s">
        <v>24</v>
      </c>
      <c r="J78" s="5">
        <f>AVERAGE(E79:E99)</f>
        <v>35654.952380952382</v>
      </c>
      <c r="K78" s="5"/>
    </row>
    <row r="79" spans="1:11" ht="15.5" thickBot="1" x14ac:dyDescent="0.9">
      <c r="A79" t="s">
        <v>15</v>
      </c>
      <c r="B79" s="5">
        <v>16292</v>
      </c>
      <c r="C79">
        <v>1</v>
      </c>
      <c r="D79" t="s">
        <v>15</v>
      </c>
      <c r="E79">
        <v>16292</v>
      </c>
      <c r="F79" s="6">
        <f>(E79-$J$78)^2</f>
        <v>374923924.90702951</v>
      </c>
      <c r="G79">
        <f>IF(E79&lt;$J$87,0,1)-IF(E79&gt;$J$88,1,0)</f>
        <v>0</v>
      </c>
      <c r="H79">
        <f>E79*E79</f>
        <v>265429264</v>
      </c>
      <c r="I79" s="1" t="s">
        <v>25</v>
      </c>
      <c r="J79" s="5">
        <f>E89</f>
        <v>33946</v>
      </c>
    </row>
    <row r="80" spans="1:11" ht="15.5" thickBot="1" x14ac:dyDescent="0.9">
      <c r="A80" t="s">
        <v>10</v>
      </c>
      <c r="B80" s="5">
        <v>22203</v>
      </c>
      <c r="C80">
        <v>2</v>
      </c>
      <c r="D80" t="s">
        <v>10</v>
      </c>
      <c r="E80">
        <v>22203</v>
      </c>
      <c r="F80" s="6">
        <f t="shared" ref="F80:F99" si="4">(E80-$J$78)^2</f>
        <v>180955022.85941043</v>
      </c>
      <c r="G80">
        <f t="shared" ref="G80:G99" si="5">IF(E80&lt;$J$87,0,1)-IF(E80&gt;$J$88,1,0)</f>
        <v>0</v>
      </c>
      <c r="H80">
        <f t="shared" ref="H80:H99" si="6">E80*E80</f>
        <v>492973209</v>
      </c>
      <c r="I80" s="15" t="s">
        <v>26</v>
      </c>
      <c r="J80" s="5">
        <f>SUM(F79:F99)/21</f>
        <v>138029391.95011345</v>
      </c>
    </row>
    <row r="81" spans="1:10" ht="15.5" thickBot="1" x14ac:dyDescent="0.9">
      <c r="A81" t="s">
        <v>8</v>
      </c>
      <c r="B81" s="5">
        <v>23034</v>
      </c>
      <c r="C81">
        <v>3</v>
      </c>
      <c r="D81" t="s">
        <v>8</v>
      </c>
      <c r="E81">
        <v>23034</v>
      </c>
      <c r="F81" s="6">
        <f t="shared" si="4"/>
        <v>159288439.0022676</v>
      </c>
      <c r="G81">
        <f t="shared" si="5"/>
        <v>0</v>
      </c>
      <c r="H81">
        <f t="shared" si="6"/>
        <v>530565156</v>
      </c>
      <c r="I81" s="15" t="s">
        <v>30</v>
      </c>
      <c r="J81" s="5">
        <f>SQRT(J80)</f>
        <v>11748.591062340771</v>
      </c>
    </row>
    <row r="82" spans="1:10" x14ac:dyDescent="0.75">
      <c r="A82" t="s">
        <v>18</v>
      </c>
      <c r="B82" s="5">
        <v>23514</v>
      </c>
      <c r="C82">
        <v>4</v>
      </c>
      <c r="D82" t="s">
        <v>18</v>
      </c>
      <c r="E82">
        <v>23514</v>
      </c>
      <c r="F82" s="6">
        <f t="shared" si="4"/>
        <v>147402724.7165533</v>
      </c>
      <c r="G82">
        <f t="shared" si="5"/>
        <v>0</v>
      </c>
      <c r="H82">
        <f t="shared" si="6"/>
        <v>552908196</v>
      </c>
      <c r="I82" s="4" t="s">
        <v>27</v>
      </c>
      <c r="J82" s="5">
        <f>E84</f>
        <v>26808</v>
      </c>
    </row>
    <row r="83" spans="1:10" x14ac:dyDescent="0.75">
      <c r="A83" t="s">
        <v>16</v>
      </c>
      <c r="B83" s="5">
        <v>24131</v>
      </c>
      <c r="C83">
        <v>5</v>
      </c>
      <c r="D83" t="s">
        <v>16</v>
      </c>
      <c r="E83">
        <v>24131</v>
      </c>
      <c r="F83" s="6">
        <f t="shared" si="4"/>
        <v>132801478.47845806</v>
      </c>
      <c r="G83">
        <f t="shared" si="5"/>
        <v>1</v>
      </c>
      <c r="H83">
        <f t="shared" si="6"/>
        <v>582305161</v>
      </c>
      <c r="I83" s="4" t="s">
        <v>28</v>
      </c>
      <c r="J83" s="5">
        <f>E94</f>
        <v>42071</v>
      </c>
    </row>
    <row r="84" spans="1:10" x14ac:dyDescent="0.75">
      <c r="A84" t="s">
        <v>11</v>
      </c>
      <c r="B84" s="5">
        <v>26808</v>
      </c>
      <c r="C84" s="4">
        <v>6</v>
      </c>
      <c r="D84" t="s">
        <v>11</v>
      </c>
      <c r="E84">
        <v>26808</v>
      </c>
      <c r="F84" s="6">
        <f t="shared" si="4"/>
        <v>78268566.430839017</v>
      </c>
      <c r="G84">
        <f t="shared" si="5"/>
        <v>1</v>
      </c>
      <c r="H84">
        <f t="shared" si="6"/>
        <v>718668864</v>
      </c>
      <c r="I84" t="s">
        <v>29</v>
      </c>
    </row>
    <row r="85" spans="1:10" x14ac:dyDescent="0.75">
      <c r="A85" t="s">
        <v>19</v>
      </c>
      <c r="B85" s="5">
        <v>27113</v>
      </c>
      <c r="C85">
        <v>7</v>
      </c>
      <c r="D85" t="s">
        <v>19</v>
      </c>
      <c r="E85">
        <v>27113</v>
      </c>
      <c r="F85" s="6">
        <f t="shared" si="4"/>
        <v>72964950.478458062</v>
      </c>
      <c r="G85">
        <f t="shared" si="5"/>
        <v>1</v>
      </c>
      <c r="H85">
        <f t="shared" si="6"/>
        <v>735114769</v>
      </c>
    </row>
    <row r="86" spans="1:10" x14ac:dyDescent="0.75">
      <c r="A86" t="s">
        <v>5</v>
      </c>
      <c r="B86" s="5">
        <v>31088</v>
      </c>
      <c r="C86">
        <v>8</v>
      </c>
      <c r="D86" t="s">
        <v>5</v>
      </c>
      <c r="E86">
        <v>31088</v>
      </c>
      <c r="F86" s="6">
        <f t="shared" si="4"/>
        <v>20857054.049886629</v>
      </c>
      <c r="G86">
        <f t="shared" si="5"/>
        <v>1</v>
      </c>
      <c r="H86">
        <f t="shared" si="6"/>
        <v>966463744</v>
      </c>
      <c r="I86" t="s">
        <v>49</v>
      </c>
    </row>
    <row r="87" spans="1:10" x14ac:dyDescent="0.75">
      <c r="A87" t="s">
        <v>13</v>
      </c>
      <c r="B87" s="5">
        <v>32999</v>
      </c>
      <c r="C87">
        <v>9</v>
      </c>
      <c r="D87" t="s">
        <v>13</v>
      </c>
      <c r="E87">
        <v>32999</v>
      </c>
      <c r="F87" s="6">
        <f t="shared" si="4"/>
        <v>7054083.0498866253</v>
      </c>
      <c r="G87">
        <f t="shared" si="5"/>
        <v>1</v>
      </c>
      <c r="H87">
        <f t="shared" si="6"/>
        <v>1088934001</v>
      </c>
      <c r="I87" t="s">
        <v>50</v>
      </c>
      <c r="J87" s="8">
        <f>J78-J81</f>
        <v>23906.361318611613</v>
      </c>
    </row>
    <row r="88" spans="1:10" x14ac:dyDescent="0.75">
      <c r="A88" t="s">
        <v>23</v>
      </c>
      <c r="B88" s="5">
        <v>33534</v>
      </c>
      <c r="C88">
        <v>10</v>
      </c>
      <c r="D88" t="s">
        <v>23</v>
      </c>
      <c r="E88">
        <v>33534</v>
      </c>
      <c r="F88" s="6">
        <f t="shared" si="4"/>
        <v>4498439.0022675768</v>
      </c>
      <c r="G88">
        <f t="shared" si="5"/>
        <v>1</v>
      </c>
      <c r="H88">
        <f t="shared" si="6"/>
        <v>1124529156</v>
      </c>
      <c r="I88" t="s">
        <v>51</v>
      </c>
      <c r="J88" s="8">
        <f>J78+J81</f>
        <v>47403.543443293151</v>
      </c>
    </row>
    <row r="89" spans="1:10" x14ac:dyDescent="0.75">
      <c r="A89" t="s">
        <v>6</v>
      </c>
      <c r="B89" s="5">
        <v>33946</v>
      </c>
      <c r="C89" s="1">
        <v>11</v>
      </c>
      <c r="D89" t="s">
        <v>6</v>
      </c>
      <c r="E89">
        <v>33946</v>
      </c>
      <c r="F89" s="6">
        <f t="shared" si="4"/>
        <v>2920518.2403628142</v>
      </c>
      <c r="G89">
        <f t="shared" si="5"/>
        <v>1</v>
      </c>
      <c r="H89">
        <f t="shared" si="6"/>
        <v>1152330916</v>
      </c>
    </row>
    <row r="90" spans="1:10" x14ac:dyDescent="0.75">
      <c r="A90" t="s">
        <v>7</v>
      </c>
      <c r="B90" s="5">
        <v>37598</v>
      </c>
      <c r="C90">
        <v>12</v>
      </c>
      <c r="D90" t="s">
        <v>7</v>
      </c>
      <c r="E90">
        <v>37598</v>
      </c>
      <c r="F90" s="6">
        <f t="shared" si="4"/>
        <v>3775434.0498866187</v>
      </c>
      <c r="G90">
        <f t="shared" si="5"/>
        <v>1</v>
      </c>
      <c r="H90">
        <f t="shared" si="6"/>
        <v>1413609604</v>
      </c>
      <c r="I90" t="s">
        <v>53</v>
      </c>
      <c r="J90">
        <f>SUM(G79:G99)</f>
        <v>15</v>
      </c>
    </row>
    <row r="91" spans="1:10" x14ac:dyDescent="0.75">
      <c r="A91" t="s">
        <v>2</v>
      </c>
      <c r="B91" s="5">
        <v>38085</v>
      </c>
      <c r="C91">
        <v>13</v>
      </c>
      <c r="D91" t="s">
        <v>2</v>
      </c>
      <c r="E91">
        <v>38085</v>
      </c>
      <c r="F91" s="6">
        <f t="shared" si="4"/>
        <v>5905131.4308389993</v>
      </c>
      <c r="G91">
        <f t="shared" si="5"/>
        <v>1</v>
      </c>
      <c r="H91">
        <f t="shared" si="6"/>
        <v>1450467225</v>
      </c>
      <c r="I91" t="s">
        <v>55</v>
      </c>
      <c r="J91" s="7">
        <f>J81/J78</f>
        <v>0.32950797232356177</v>
      </c>
    </row>
    <row r="92" spans="1:10" x14ac:dyDescent="0.75">
      <c r="A92" t="s">
        <v>17</v>
      </c>
      <c r="B92" s="5">
        <v>38675</v>
      </c>
      <c r="C92">
        <v>14</v>
      </c>
      <c r="D92" t="s">
        <v>17</v>
      </c>
      <c r="E92">
        <v>38675</v>
      </c>
      <c r="F92" s="6">
        <f t="shared" si="4"/>
        <v>9120687.6213151887</v>
      </c>
      <c r="G92">
        <f t="shared" si="5"/>
        <v>1</v>
      </c>
      <c r="H92">
        <f t="shared" si="6"/>
        <v>1495755625</v>
      </c>
      <c r="I92" t="s">
        <v>56</v>
      </c>
      <c r="J92" s="7">
        <f>J83/J82</f>
        <v>1.5693449716502537</v>
      </c>
    </row>
    <row r="93" spans="1:10" x14ac:dyDescent="0.75">
      <c r="A93" t="s">
        <v>12</v>
      </c>
      <c r="B93" s="5">
        <v>39372</v>
      </c>
      <c r="C93">
        <v>15</v>
      </c>
      <c r="D93" t="s">
        <v>12</v>
      </c>
      <c r="E93">
        <v>39372</v>
      </c>
      <c r="F93" s="6">
        <f t="shared" si="4"/>
        <v>13816443.002267569</v>
      </c>
      <c r="G93">
        <f t="shared" si="5"/>
        <v>1</v>
      </c>
      <c r="H93">
        <f t="shared" si="6"/>
        <v>1550154384</v>
      </c>
      <c r="I93" t="s">
        <v>54</v>
      </c>
      <c r="J93" s="7">
        <f>(J83-J82)/J79</f>
        <v>0.44962587639191659</v>
      </c>
    </row>
    <row r="94" spans="1:10" x14ac:dyDescent="0.75">
      <c r="A94" t="s">
        <v>3</v>
      </c>
      <c r="B94" s="5">
        <v>42071</v>
      </c>
      <c r="C94" s="4">
        <v>16</v>
      </c>
      <c r="D94" t="s">
        <v>3</v>
      </c>
      <c r="E94">
        <v>42071</v>
      </c>
      <c r="F94" s="6">
        <f t="shared" si="4"/>
        <v>41165667.049886614</v>
      </c>
      <c r="G94">
        <f t="shared" si="5"/>
        <v>1</v>
      </c>
      <c r="H94">
        <f t="shared" si="6"/>
        <v>1769969041</v>
      </c>
    </row>
    <row r="95" spans="1:10" x14ac:dyDescent="0.75">
      <c r="A95" t="s">
        <v>22</v>
      </c>
      <c r="B95" s="5">
        <v>42383</v>
      </c>
      <c r="C95">
        <v>17</v>
      </c>
      <c r="D95" t="s">
        <v>9</v>
      </c>
      <c r="E95">
        <v>44429</v>
      </c>
      <c r="F95" s="6">
        <f t="shared" si="4"/>
        <v>76983911.621315181</v>
      </c>
      <c r="G95">
        <f t="shared" si="5"/>
        <v>1</v>
      </c>
      <c r="H95">
        <f t="shared" si="6"/>
        <v>1973936041</v>
      </c>
    </row>
    <row r="96" spans="1:10" x14ac:dyDescent="0.75">
      <c r="A96" t="s">
        <v>21</v>
      </c>
      <c r="B96" s="5">
        <v>42490</v>
      </c>
      <c r="C96">
        <v>18</v>
      </c>
      <c r="D96" t="s">
        <v>1</v>
      </c>
      <c r="E96">
        <v>45149</v>
      </c>
      <c r="F96" s="6">
        <f t="shared" si="4"/>
        <v>90136940.192743748</v>
      </c>
      <c r="G96">
        <f t="shared" si="5"/>
        <v>1</v>
      </c>
      <c r="H96">
        <f t="shared" si="6"/>
        <v>2038432201</v>
      </c>
    </row>
    <row r="97" spans="1:8" x14ac:dyDescent="0.75">
      <c r="A97" t="s">
        <v>9</v>
      </c>
      <c r="B97" s="5">
        <v>44429</v>
      </c>
      <c r="C97">
        <v>19</v>
      </c>
      <c r="D97" t="s">
        <v>14</v>
      </c>
      <c r="E97">
        <v>45557</v>
      </c>
      <c r="F97" s="6">
        <f t="shared" si="4"/>
        <v>98050547.049886614</v>
      </c>
      <c r="G97">
        <f t="shared" si="5"/>
        <v>1</v>
      </c>
      <c r="H97">
        <f t="shared" si="6"/>
        <v>2075440249</v>
      </c>
    </row>
    <row r="98" spans="1:8" x14ac:dyDescent="0.75">
      <c r="A98" t="s">
        <v>1</v>
      </c>
      <c r="B98" s="5">
        <v>45149</v>
      </c>
      <c r="C98">
        <v>20</v>
      </c>
      <c r="D98" t="s">
        <v>0</v>
      </c>
      <c r="E98">
        <v>57472</v>
      </c>
      <c r="F98" s="6">
        <f t="shared" si="4"/>
        <v>475983566.81179136</v>
      </c>
      <c r="G98">
        <f t="shared" si="5"/>
        <v>0</v>
      </c>
      <c r="H98">
        <f t="shared" si="6"/>
        <v>3303030784</v>
      </c>
    </row>
    <row r="99" spans="1:8" x14ac:dyDescent="0.75">
      <c r="A99" t="s">
        <v>14</v>
      </c>
      <c r="B99" s="5">
        <v>45557</v>
      </c>
      <c r="C99">
        <v>21</v>
      </c>
      <c r="D99" t="s">
        <v>4</v>
      </c>
      <c r="E99">
        <v>65684</v>
      </c>
      <c r="F99" s="6">
        <f t="shared" si="4"/>
        <v>901743700.90702939</v>
      </c>
      <c r="G99">
        <f t="shared" si="5"/>
        <v>0</v>
      </c>
      <c r="H99">
        <f t="shared" si="6"/>
        <v>4314387856</v>
      </c>
    </row>
    <row r="100" spans="1:8" x14ac:dyDescent="0.75">
      <c r="A100" t="s">
        <v>20</v>
      </c>
      <c r="B100" s="5">
        <v>52752</v>
      </c>
      <c r="H100" s="5">
        <f>AVERAGE(H79:H99)</f>
        <v>1409305021.2380953</v>
      </c>
    </row>
    <row r="101" spans="1:8" x14ac:dyDescent="0.75">
      <c r="A101" t="s">
        <v>0</v>
      </c>
      <c r="B101" s="5">
        <v>57472</v>
      </c>
    </row>
    <row r="102" spans="1:8" x14ac:dyDescent="0.75">
      <c r="A102" t="s">
        <v>4</v>
      </c>
      <c r="B102" s="5">
        <v>65684</v>
      </c>
    </row>
    <row r="104" spans="1:8" x14ac:dyDescent="0.75">
      <c r="A104" t="s">
        <v>61</v>
      </c>
    </row>
    <row r="105" spans="1:8" x14ac:dyDescent="0.75">
      <c r="A105" t="s">
        <v>62</v>
      </c>
    </row>
    <row r="106" spans="1:8" x14ac:dyDescent="0.75">
      <c r="A106" t="s">
        <v>63</v>
      </c>
    </row>
    <row r="108" spans="1:8" x14ac:dyDescent="0.75">
      <c r="B108" s="2" t="s">
        <v>71</v>
      </c>
      <c r="C108" s="2" t="s">
        <v>72</v>
      </c>
      <c r="D108" s="2" t="s">
        <v>70</v>
      </c>
    </row>
    <row r="109" spans="1:8" x14ac:dyDescent="0.75">
      <c r="A109" t="s">
        <v>0</v>
      </c>
      <c r="B109">
        <v>0.08</v>
      </c>
      <c r="C109" s="5">
        <v>57472</v>
      </c>
      <c r="D109" s="9">
        <v>4597.76</v>
      </c>
    </row>
    <row r="110" spans="1:8" x14ac:dyDescent="0.75">
      <c r="A110" t="s">
        <v>1</v>
      </c>
      <c r="B110">
        <v>0.1</v>
      </c>
      <c r="C110" s="5">
        <v>45149</v>
      </c>
      <c r="D110" s="9">
        <v>4514.9000000000005</v>
      </c>
    </row>
    <row r="111" spans="1:8" x14ac:dyDescent="0.75">
      <c r="A111" t="s">
        <v>2</v>
      </c>
      <c r="B111">
        <v>0.12</v>
      </c>
      <c r="C111" s="5">
        <v>38085</v>
      </c>
      <c r="D111" s="9">
        <v>4570.2</v>
      </c>
    </row>
    <row r="112" spans="1:8" x14ac:dyDescent="0.75">
      <c r="A112" t="s">
        <v>3</v>
      </c>
      <c r="B112">
        <v>0.15</v>
      </c>
      <c r="C112" s="5">
        <v>42071</v>
      </c>
      <c r="D112" s="9">
        <v>6310.65</v>
      </c>
    </row>
    <row r="113" spans="1:4" x14ac:dyDescent="0.75">
      <c r="A113" t="s">
        <v>4</v>
      </c>
      <c r="B113">
        <v>0.15</v>
      </c>
      <c r="C113" s="5">
        <v>65684</v>
      </c>
      <c r="D113" s="9">
        <v>9852.6</v>
      </c>
    </row>
    <row r="114" spans="1:4" x14ac:dyDescent="0.75">
      <c r="A114" t="s">
        <v>5</v>
      </c>
      <c r="B114">
        <v>0.16</v>
      </c>
      <c r="C114" s="5">
        <v>31088</v>
      </c>
      <c r="D114" s="9">
        <v>4974.08</v>
      </c>
    </row>
    <row r="115" spans="1:4" x14ac:dyDescent="0.75">
      <c r="A115" t="s">
        <v>6</v>
      </c>
      <c r="B115">
        <v>0.16</v>
      </c>
      <c r="C115" s="5">
        <v>33946</v>
      </c>
      <c r="D115" s="9">
        <v>5431.36</v>
      </c>
    </row>
    <row r="116" spans="1:4" x14ac:dyDescent="0.75">
      <c r="A116" t="s">
        <v>7</v>
      </c>
      <c r="B116">
        <v>0.17</v>
      </c>
      <c r="C116" s="5">
        <v>37598</v>
      </c>
      <c r="D116" s="9">
        <v>6391.6600000000008</v>
      </c>
    </row>
    <row r="117" spans="1:4" x14ac:dyDescent="0.75">
      <c r="A117" t="s">
        <v>8</v>
      </c>
      <c r="B117">
        <v>0.18</v>
      </c>
      <c r="C117" s="5">
        <v>23034</v>
      </c>
      <c r="D117" s="9">
        <v>4146.12</v>
      </c>
    </row>
    <row r="118" spans="1:4" x14ac:dyDescent="0.75">
      <c r="A118" t="s">
        <v>9</v>
      </c>
      <c r="B118">
        <v>0.2</v>
      </c>
      <c r="C118" s="5">
        <v>44429</v>
      </c>
      <c r="D118" s="9">
        <v>8885.8000000000011</v>
      </c>
    </row>
    <row r="119" spans="1:4" x14ac:dyDescent="0.75">
      <c r="A119" t="s">
        <v>10</v>
      </c>
      <c r="B119">
        <v>0.2</v>
      </c>
      <c r="C119" s="5">
        <v>22203</v>
      </c>
      <c r="D119" s="9">
        <v>4440.6000000000004</v>
      </c>
    </row>
    <row r="120" spans="1:4" x14ac:dyDescent="0.75">
      <c r="A120" t="s">
        <v>11</v>
      </c>
      <c r="B120">
        <v>0.21</v>
      </c>
      <c r="C120" s="5">
        <v>26808</v>
      </c>
      <c r="D120" s="9">
        <v>5629.6799999999994</v>
      </c>
    </row>
    <row r="121" spans="1:4" x14ac:dyDescent="0.75">
      <c r="A121" t="s">
        <v>12</v>
      </c>
      <c r="B121">
        <v>0.22</v>
      </c>
      <c r="C121" s="5">
        <v>39372</v>
      </c>
      <c r="D121" s="9">
        <v>8661.84</v>
      </c>
    </row>
    <row r="122" spans="1:4" x14ac:dyDescent="0.75">
      <c r="A122" t="s">
        <v>13</v>
      </c>
      <c r="B122">
        <v>0.22</v>
      </c>
      <c r="C122" s="5">
        <v>32999</v>
      </c>
      <c r="D122" s="9">
        <v>7259.78</v>
      </c>
    </row>
    <row r="123" spans="1:4" x14ac:dyDescent="0.75">
      <c r="A123" t="s">
        <v>14</v>
      </c>
      <c r="B123">
        <v>0.22</v>
      </c>
      <c r="C123" s="5">
        <v>45557</v>
      </c>
      <c r="D123" s="9">
        <v>10022.540000000001</v>
      </c>
    </row>
    <row r="124" spans="1:4" x14ac:dyDescent="0.75">
      <c r="A124" t="s">
        <v>15</v>
      </c>
      <c r="B124">
        <v>0.23</v>
      </c>
      <c r="C124" s="5">
        <v>16292</v>
      </c>
      <c r="D124" s="9">
        <v>3747.1600000000003</v>
      </c>
    </row>
    <row r="125" spans="1:4" x14ac:dyDescent="0.75">
      <c r="A125" t="s">
        <v>16</v>
      </c>
      <c r="B125">
        <v>0.26</v>
      </c>
      <c r="C125" s="5">
        <v>24131</v>
      </c>
      <c r="D125" s="9">
        <v>6274.06</v>
      </c>
    </row>
    <row r="126" spans="1:4" x14ac:dyDescent="0.75">
      <c r="A126" t="s">
        <v>17</v>
      </c>
      <c r="B126">
        <v>0.26</v>
      </c>
      <c r="C126" s="5">
        <v>38675</v>
      </c>
      <c r="D126" s="9">
        <v>10055.5</v>
      </c>
    </row>
    <row r="127" spans="1:4" x14ac:dyDescent="0.75">
      <c r="A127" t="s">
        <v>18</v>
      </c>
      <c r="B127">
        <v>0.31</v>
      </c>
      <c r="C127" s="5">
        <v>23514</v>
      </c>
      <c r="D127" s="9">
        <v>7289.34</v>
      </c>
    </row>
    <row r="128" spans="1:4" x14ac:dyDescent="0.75">
      <c r="A128" t="s">
        <v>19</v>
      </c>
      <c r="B128">
        <v>0.31</v>
      </c>
      <c r="C128" s="5">
        <v>27113</v>
      </c>
      <c r="D128" s="9">
        <v>8405.0300000000007</v>
      </c>
    </row>
    <row r="129" spans="1:6" x14ac:dyDescent="0.75">
      <c r="A129" t="s">
        <v>23</v>
      </c>
      <c r="B129">
        <v>0.35</v>
      </c>
      <c r="C129" s="5">
        <v>33534</v>
      </c>
      <c r="D129" s="9">
        <v>11736.9</v>
      </c>
    </row>
    <row r="130" spans="1:6" x14ac:dyDescent="0.75">
      <c r="A130" t="s">
        <v>69</v>
      </c>
      <c r="B130" s="7">
        <f>AVERAGE(B109:B129)</f>
        <v>0.20285714285714285</v>
      </c>
      <c r="C130" s="5">
        <f>AVERAGE(C109:C129)</f>
        <v>35654.952380952382</v>
      </c>
      <c r="D130" s="5">
        <f>AVERAGE(D109:D129)</f>
        <v>6818.9314285714281</v>
      </c>
    </row>
    <row r="131" spans="1:6" x14ac:dyDescent="0.75">
      <c r="B131" s="7"/>
      <c r="C131" s="5"/>
      <c r="E131" s="10"/>
      <c r="F131" s="5"/>
    </row>
    <row r="132" spans="1:6" x14ac:dyDescent="0.75">
      <c r="A132" t="s">
        <v>68</v>
      </c>
    </row>
    <row r="133" spans="1:6" x14ac:dyDescent="0.75">
      <c r="A133" t="s">
        <v>73</v>
      </c>
    </row>
    <row r="135" spans="1:6" x14ac:dyDescent="0.75">
      <c r="A135" t="s">
        <v>64</v>
      </c>
      <c r="B135" s="6">
        <f>D130-C130*B130</f>
        <v>-413.93034013605484</v>
      </c>
      <c r="C135" s="11"/>
    </row>
    <row r="136" spans="1:6" x14ac:dyDescent="0.75">
      <c r="A136" t="s">
        <v>65</v>
      </c>
      <c r="B136" s="3">
        <f>B135/(B47*J81)</f>
        <v>-0.52047407385153299</v>
      </c>
    </row>
    <row r="138" spans="1:6" x14ac:dyDescent="0.75">
      <c r="A138" t="s">
        <v>76</v>
      </c>
    </row>
    <row r="139" spans="1:6" x14ac:dyDescent="0.75">
      <c r="B139" s="12"/>
    </row>
    <row r="140" spans="1:6" x14ac:dyDescent="0.75">
      <c r="A140" t="s">
        <v>74</v>
      </c>
      <c r="B140" s="13">
        <f>B135/B46</f>
        <v>-90332.185273159223</v>
      </c>
    </row>
    <row r="141" spans="1:6" x14ac:dyDescent="0.75">
      <c r="A141" t="s">
        <v>75</v>
      </c>
      <c r="B141" s="14">
        <f>C130-B140*B130</f>
        <v>53979.481393507536</v>
      </c>
    </row>
    <row r="143" spans="1:6" ht="16.75" x14ac:dyDescent="0.75">
      <c r="A143" t="s">
        <v>91</v>
      </c>
    </row>
    <row r="144" spans="1:6" ht="16.75" x14ac:dyDescent="0.75">
      <c r="A144" t="s">
        <v>92</v>
      </c>
      <c r="B144" s="16">
        <f>B140*B140*B46/J80</f>
        <v>0.27089326155161109</v>
      </c>
      <c r="C144" s="16">
        <f>B136*B136</f>
        <v>0.27089326155161103</v>
      </c>
    </row>
  </sheetData>
  <autoFilter ref="A78:B78" xr:uid="{922F176C-15BA-42FC-BBB7-BFAAFAAA7EE0}">
    <sortState xmlns:xlrd2="http://schemas.microsoft.com/office/spreadsheetml/2017/richdata2" ref="A79:B102">
      <sortCondition ref="B78"/>
    </sortState>
  </autoFilter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TD2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Lucile BASSE</dc:creator>
  <cp:lastModifiedBy>Inès Munoz-Bertrand</cp:lastModifiedBy>
  <dcterms:created xsi:type="dcterms:W3CDTF">2023-11-06T08:20:41Z</dcterms:created>
  <dcterms:modified xsi:type="dcterms:W3CDTF">2024-12-16T14:01:15Z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5c20be7-c3a5-46e3-9158-fa8a02ce2395_Enabled">
    <vt:lpwstr>true</vt:lpwstr>
  </property>
  <property fmtid="{D5CDD505-2E9C-101B-9397-08002B2CF9AE}" pid="3" name="MSIP_Label_d5c20be7-c3a5-46e3-9158-fa8a02ce2395_SetDate">
    <vt:lpwstr>2024-11-22T15:10:44Z</vt:lpwstr>
  </property>
  <property fmtid="{D5CDD505-2E9C-101B-9397-08002B2CF9AE}" pid="4" name="MSIP_Label_d5c20be7-c3a5-46e3-9158-fa8a02ce2395_Method">
    <vt:lpwstr>Standard</vt:lpwstr>
  </property>
  <property fmtid="{D5CDD505-2E9C-101B-9397-08002B2CF9AE}" pid="5" name="MSIP_Label_d5c20be7-c3a5-46e3-9158-fa8a02ce2395_Name">
    <vt:lpwstr>defa4170-0d19-0005-0004-bc88714345d2</vt:lpwstr>
  </property>
  <property fmtid="{D5CDD505-2E9C-101B-9397-08002B2CF9AE}" pid="6" name="MSIP_Label_d5c20be7-c3a5-46e3-9158-fa8a02ce2395_SiteId">
    <vt:lpwstr>8c6f9078-037e-4261-a583-52a944e55f7f</vt:lpwstr>
  </property>
  <property fmtid="{D5CDD505-2E9C-101B-9397-08002B2CF9AE}" pid="7" name="MSIP_Label_d5c20be7-c3a5-46e3-9158-fa8a02ce2395_ActionId">
    <vt:lpwstr>00005cf1-5992-47f0-9a7c-df5d71a35d85</vt:lpwstr>
  </property>
  <property fmtid="{D5CDD505-2E9C-101B-9397-08002B2CF9AE}" pid="8" name="MSIP_Label_d5c20be7-c3a5-46e3-9158-fa8a02ce2395_ContentBits">
    <vt:lpwstr>0</vt:lpwstr>
  </property>
</Properties>
</file>