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5_Table-mortalite\Ex-1 TM construction\"/>
    </mc:Choice>
  </mc:AlternateContent>
  <xr:revisionPtr revIDLastSave="0" documentId="13_ncr:1_{3FB3F4AA-CE7B-4C5D-91E0-BE424929E0F5}" xr6:coauthVersionLast="47" xr6:coauthVersionMax="47" xr10:uidLastSave="{00000000-0000-0000-0000-000000000000}"/>
  <bookViews>
    <workbookView xWindow="1103" yWindow="1103" windowWidth="23842" windowHeight="13124" activeTab="1" xr2:uid="{00000000-000D-0000-FFFF-FFFF00000000}"/>
  </bookViews>
  <sheets>
    <sheet name="Enoncé" sheetId="2" r:id="rId1"/>
    <sheet name="Ex-1corr" sheetId="3" r:id="rId2"/>
    <sheet name="Feuil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3" l="1"/>
  <c r="R43" i="3" s="1"/>
  <c r="R44" i="3" s="1"/>
  <c r="Q42" i="3"/>
  <c r="Q43" i="3" s="1"/>
  <c r="Q44" i="3" s="1"/>
  <c r="R38" i="3"/>
  <c r="R37" i="3"/>
  <c r="R36" i="3"/>
  <c r="Q36" i="3"/>
  <c r="Q37" i="3" s="1"/>
  <c r="Q38" i="3" s="1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Q15" i="3"/>
  <c r="Q16" i="3" s="1"/>
  <c r="U14" i="3"/>
  <c r="T14" i="3"/>
  <c r="R14" i="3"/>
  <c r="R15" i="3" s="1"/>
  <c r="R16" i="3" s="1"/>
  <c r="Q14" i="3"/>
  <c r="U13" i="3"/>
  <c r="T13" i="3"/>
  <c r="U12" i="3"/>
  <c r="T12" i="3"/>
  <c r="U11" i="3"/>
  <c r="T11" i="3"/>
  <c r="U10" i="3"/>
  <c r="T10" i="3"/>
  <c r="U9" i="3"/>
  <c r="T9" i="3"/>
  <c r="R9" i="3"/>
  <c r="R10" i="3" s="1"/>
  <c r="Q9" i="3"/>
  <c r="Q10" i="3" s="1"/>
  <c r="U8" i="3"/>
  <c r="T8" i="3"/>
  <c r="R8" i="3"/>
  <c r="Q8" i="3"/>
  <c r="U7" i="3"/>
  <c r="T7" i="3"/>
  <c r="U6" i="3"/>
  <c r="T6" i="3"/>
  <c r="U5" i="3"/>
  <c r="T5" i="3"/>
  <c r="U4" i="3"/>
  <c r="T4" i="3"/>
  <c r="M58" i="3"/>
  <c r="J53" i="3"/>
  <c r="O53" i="3" s="1"/>
  <c r="C53" i="3"/>
  <c r="H53" i="3" s="1"/>
  <c r="J52" i="3"/>
  <c r="K52" i="3" s="1"/>
  <c r="D52" i="3"/>
  <c r="C52" i="3"/>
  <c r="J51" i="3"/>
  <c r="K51" i="3" s="1"/>
  <c r="D51" i="3"/>
  <c r="C51" i="3"/>
  <c r="J50" i="3"/>
  <c r="K50" i="3" s="1"/>
  <c r="D50" i="3"/>
  <c r="C50" i="3"/>
  <c r="J49" i="3"/>
  <c r="K49" i="3" s="1"/>
  <c r="D49" i="3"/>
  <c r="C49" i="3"/>
  <c r="J48" i="3"/>
  <c r="K48" i="3" s="1"/>
  <c r="D48" i="3"/>
  <c r="C48" i="3"/>
  <c r="J47" i="3"/>
  <c r="K47" i="3" s="1"/>
  <c r="D47" i="3"/>
  <c r="C47" i="3"/>
  <c r="J46" i="3"/>
  <c r="K46" i="3" s="1"/>
  <c r="D46" i="3"/>
  <c r="C46" i="3"/>
  <c r="J45" i="3"/>
  <c r="K45" i="3" s="1"/>
  <c r="D45" i="3"/>
  <c r="C45" i="3"/>
  <c r="K44" i="3"/>
  <c r="J44" i="3"/>
  <c r="C44" i="3"/>
  <c r="D44" i="3" s="1"/>
  <c r="J43" i="3"/>
  <c r="K43" i="3" s="1"/>
  <c r="D43" i="3"/>
  <c r="C43" i="3"/>
  <c r="K42" i="3"/>
  <c r="J42" i="3"/>
  <c r="C42" i="3"/>
  <c r="D42" i="3" s="1"/>
  <c r="K41" i="3"/>
  <c r="J41" i="3"/>
  <c r="C41" i="3"/>
  <c r="D41" i="3" s="1"/>
  <c r="K40" i="3"/>
  <c r="J40" i="3"/>
  <c r="C40" i="3"/>
  <c r="D40" i="3" s="1"/>
  <c r="K39" i="3"/>
  <c r="J39" i="3"/>
  <c r="C39" i="3"/>
  <c r="D39" i="3" s="1"/>
  <c r="J38" i="3"/>
  <c r="K38" i="3" s="1"/>
  <c r="D38" i="3"/>
  <c r="C38" i="3"/>
  <c r="K37" i="3"/>
  <c r="J37" i="3"/>
  <c r="C37" i="3"/>
  <c r="D37" i="3" s="1"/>
  <c r="J36" i="3"/>
  <c r="D36" i="3"/>
  <c r="C36" i="3"/>
  <c r="F58" i="3" s="1"/>
  <c r="J35" i="3"/>
  <c r="K35" i="3" s="1"/>
  <c r="D35" i="3"/>
  <c r="C35" i="3"/>
  <c r="J34" i="3"/>
  <c r="K34" i="3" s="1"/>
  <c r="D34" i="3"/>
  <c r="C34" i="3"/>
  <c r="J33" i="3"/>
  <c r="K33" i="3" s="1"/>
  <c r="D33" i="3"/>
  <c r="C33" i="3"/>
  <c r="J32" i="3"/>
  <c r="K32" i="3" s="1"/>
  <c r="C32" i="3"/>
  <c r="D32" i="3" s="1"/>
  <c r="H25" i="3"/>
  <c r="K24" i="3"/>
  <c r="D24" i="3"/>
  <c r="K23" i="3"/>
  <c r="D23" i="3"/>
  <c r="K22" i="3"/>
  <c r="D22" i="3"/>
  <c r="K21" i="3"/>
  <c r="D21" i="3"/>
  <c r="K20" i="3"/>
  <c r="D20" i="3"/>
  <c r="K19" i="3"/>
  <c r="D19" i="3"/>
  <c r="K18" i="3"/>
  <c r="D18" i="3"/>
  <c r="K17" i="3"/>
  <c r="D17" i="3"/>
  <c r="K16" i="3"/>
  <c r="D16" i="3"/>
  <c r="K15" i="3"/>
  <c r="D15" i="3"/>
  <c r="K14" i="3"/>
  <c r="D14" i="3"/>
  <c r="K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  <c r="M2" i="3"/>
  <c r="G2" i="3"/>
  <c r="D5" i="3" s="1"/>
  <c r="M1" i="3"/>
  <c r="K4" i="3" s="1"/>
  <c r="L5" i="3" s="1"/>
  <c r="G1" i="3"/>
  <c r="D4" i="3" s="1"/>
  <c r="E5" i="3" s="1"/>
  <c r="L6" i="3" l="1"/>
  <c r="M4" i="3"/>
  <c r="E6" i="3"/>
  <c r="F4" i="3"/>
  <c r="L33" i="3"/>
  <c r="E33" i="3"/>
  <c r="K36" i="3"/>
  <c r="E34" i="3" l="1"/>
  <c r="F32" i="3"/>
  <c r="M32" i="3"/>
  <c r="L34" i="3"/>
  <c r="M5" i="3"/>
  <c r="L7" i="3"/>
  <c r="M6" i="3"/>
  <c r="E7" i="3"/>
  <c r="F5" i="3"/>
  <c r="F33" i="3" l="1"/>
  <c r="E35" i="3"/>
  <c r="L8" i="3"/>
  <c r="M7" i="3"/>
  <c r="E8" i="3"/>
  <c r="M33" i="3"/>
  <c r="L35" i="3"/>
  <c r="F6" i="3"/>
  <c r="E9" i="3" l="1"/>
  <c r="F8" i="3"/>
  <c r="F7" i="3"/>
  <c r="M34" i="3"/>
  <c r="L36" i="3"/>
  <c r="F34" i="3"/>
  <c r="E36" i="3"/>
  <c r="L9" i="3"/>
  <c r="E37" i="3" l="1"/>
  <c r="F35" i="3"/>
  <c r="F59" i="3"/>
  <c r="E10" i="3"/>
  <c r="F9" i="3"/>
  <c r="L10" i="3"/>
  <c r="M59" i="3"/>
  <c r="M35" i="3"/>
  <c r="L37" i="3"/>
  <c r="M8" i="3"/>
  <c r="E11" i="3" l="1"/>
  <c r="F10" i="3"/>
  <c r="F36" i="3"/>
  <c r="E38" i="3"/>
  <c r="L11" i="3"/>
  <c r="M10" i="3" s="1"/>
  <c r="M36" i="3"/>
  <c r="L38" i="3"/>
  <c r="M9" i="3"/>
  <c r="E12" i="3" l="1"/>
  <c r="F11" i="3" s="1"/>
  <c r="L39" i="3"/>
  <c r="M37" i="3"/>
  <c r="L12" i="3"/>
  <c r="M11" i="3"/>
  <c r="F37" i="3"/>
  <c r="E39" i="3"/>
  <c r="E40" i="3" l="1"/>
  <c r="F38" i="3"/>
  <c r="E13" i="3"/>
  <c r="F12" i="3"/>
  <c r="L13" i="3"/>
  <c r="M12" i="3"/>
  <c r="M38" i="3"/>
  <c r="L40" i="3"/>
  <c r="E14" i="3" l="1"/>
  <c r="L14" i="3"/>
  <c r="M13" i="3" s="1"/>
  <c r="M39" i="3"/>
  <c r="L41" i="3"/>
  <c r="F39" i="3"/>
  <c r="E41" i="3"/>
  <c r="E15" i="3" l="1"/>
  <c r="L15" i="3"/>
  <c r="F40" i="3"/>
  <c r="E42" i="3"/>
  <c r="F13" i="3"/>
  <c r="M40" i="3"/>
  <c r="L42" i="3"/>
  <c r="L16" i="3" l="1"/>
  <c r="M15" i="3" s="1"/>
  <c r="M14" i="3"/>
  <c r="E16" i="3"/>
  <c r="F41" i="3"/>
  <c r="E43" i="3"/>
  <c r="M41" i="3"/>
  <c r="L43" i="3"/>
  <c r="F14" i="3"/>
  <c r="E17" i="3" l="1"/>
  <c r="F16" i="3"/>
  <c r="L17" i="3"/>
  <c r="L44" i="3"/>
  <c r="M42" i="3"/>
  <c r="F42" i="3"/>
  <c r="E44" i="3"/>
  <c r="F15" i="3"/>
  <c r="E45" i="3" l="1"/>
  <c r="F43" i="3"/>
  <c r="L18" i="3"/>
  <c r="M17" i="3"/>
  <c r="M16" i="3"/>
  <c r="E18" i="3"/>
  <c r="L45" i="3"/>
  <c r="M43" i="3"/>
  <c r="E19" i="3" l="1"/>
  <c r="F18" i="3"/>
  <c r="F60" i="3"/>
  <c r="F61" i="3" s="1"/>
  <c r="E46" i="3"/>
  <c r="F44" i="3"/>
  <c r="M27" i="3"/>
  <c r="M44" i="3"/>
  <c r="M60" i="3"/>
  <c r="M61" i="3" s="1"/>
  <c r="L46" i="3"/>
  <c r="F17" i="3"/>
  <c r="L19" i="3"/>
  <c r="M45" i="3" l="1"/>
  <c r="L47" i="3"/>
  <c r="L20" i="3"/>
  <c r="F45" i="3"/>
  <c r="F55" i="3" s="1"/>
  <c r="E47" i="3"/>
  <c r="M18" i="3"/>
  <c r="E20" i="3"/>
  <c r="F19" i="3"/>
  <c r="F27" i="3"/>
  <c r="L21" i="3" l="1"/>
  <c r="M20" i="3"/>
  <c r="M19" i="3"/>
  <c r="M46" i="3"/>
  <c r="L48" i="3"/>
  <c r="M55" i="3"/>
  <c r="E21" i="3"/>
  <c r="F20" i="3"/>
  <c r="F46" i="3"/>
  <c r="E48" i="3"/>
  <c r="M47" i="3" l="1"/>
  <c r="L49" i="3"/>
  <c r="F47" i="3"/>
  <c r="E49" i="3"/>
  <c r="E22" i="3"/>
  <c r="F21" i="3"/>
  <c r="L22" i="3"/>
  <c r="M21" i="3"/>
  <c r="F48" i="3" l="1"/>
  <c r="E50" i="3"/>
  <c r="M48" i="3"/>
  <c r="L50" i="3"/>
  <c r="L23" i="3"/>
  <c r="M22" i="3"/>
  <c r="E23" i="3"/>
  <c r="F22" i="3"/>
  <c r="F49" i="3" l="1"/>
  <c r="E51" i="3"/>
  <c r="L24" i="3"/>
  <c r="M49" i="3"/>
  <c r="L51" i="3"/>
  <c r="E24" i="3"/>
  <c r="E25" i="3" l="1"/>
  <c r="F25" i="3" s="1"/>
  <c r="F24" i="3"/>
  <c r="G24" i="3" s="1"/>
  <c r="H24" i="3" s="1"/>
  <c r="F23" i="3"/>
  <c r="M50" i="3"/>
  <c r="L52" i="3"/>
  <c r="F50" i="3"/>
  <c r="E52" i="3"/>
  <c r="L25" i="3"/>
  <c r="M25" i="3" s="1"/>
  <c r="M23" i="3"/>
  <c r="N23" i="3" l="1"/>
  <c r="O23" i="3" s="1"/>
  <c r="N17" i="3"/>
  <c r="O17" i="3" s="1"/>
  <c r="N20" i="3"/>
  <c r="O20" i="3" s="1"/>
  <c r="N16" i="3"/>
  <c r="O16" i="3" s="1"/>
  <c r="N18" i="3"/>
  <c r="O18" i="3" s="1"/>
  <c r="N14" i="3"/>
  <c r="O14" i="3" s="1"/>
  <c r="N22" i="3"/>
  <c r="O22" i="3" s="1"/>
  <c r="N21" i="3"/>
  <c r="O21" i="3" s="1"/>
  <c r="N25" i="3"/>
  <c r="O25" i="3" s="1"/>
  <c r="N4" i="3"/>
  <c r="O4" i="3" s="1"/>
  <c r="N5" i="3"/>
  <c r="O5" i="3" s="1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15" i="3"/>
  <c r="O15" i="3" s="1"/>
  <c r="N13" i="3"/>
  <c r="O13" i="3" s="1"/>
  <c r="M24" i="3"/>
  <c r="N24" i="3" s="1"/>
  <c r="O24" i="3" s="1"/>
  <c r="F51" i="3"/>
  <c r="E53" i="3"/>
  <c r="G23" i="3"/>
  <c r="H23" i="3" s="1"/>
  <c r="G21" i="3"/>
  <c r="H21" i="3" s="1"/>
  <c r="G22" i="3"/>
  <c r="H22" i="3" s="1"/>
  <c r="G19" i="3"/>
  <c r="H19" i="3" s="1"/>
  <c r="G20" i="3"/>
  <c r="H20" i="3" s="1"/>
  <c r="G18" i="3"/>
  <c r="H18" i="3" s="1"/>
  <c r="G17" i="3"/>
  <c r="H17" i="3" s="1"/>
  <c r="M51" i="3"/>
  <c r="L53" i="3"/>
  <c r="G25" i="3"/>
  <c r="G4" i="3"/>
  <c r="H4" i="3" s="1"/>
  <c r="G5" i="3"/>
  <c r="H5" i="3" s="1"/>
  <c r="G8" i="3"/>
  <c r="H8" i="3" s="1"/>
  <c r="G7" i="3"/>
  <c r="H7" i="3" s="1"/>
  <c r="G6" i="3"/>
  <c r="H6" i="3" s="1"/>
  <c r="G10" i="3"/>
  <c r="H10" i="3" s="1"/>
  <c r="G9" i="3"/>
  <c r="H9" i="3" s="1"/>
  <c r="G12" i="3"/>
  <c r="H12" i="3" s="1"/>
  <c r="G14" i="3"/>
  <c r="H14" i="3" s="1"/>
  <c r="G11" i="3"/>
  <c r="H11" i="3" s="1"/>
  <c r="G13" i="3"/>
  <c r="H13" i="3" s="1"/>
  <c r="G15" i="3"/>
  <c r="H15" i="3" s="1"/>
  <c r="G16" i="3"/>
  <c r="H16" i="3" s="1"/>
  <c r="M52" i="3" l="1"/>
  <c r="N52" i="3" s="1"/>
  <c r="O52" i="3" s="1"/>
  <c r="M53" i="3"/>
  <c r="N49" i="3"/>
  <c r="O49" i="3" s="1"/>
  <c r="N45" i="3"/>
  <c r="O45" i="3" s="1"/>
  <c r="N50" i="3"/>
  <c r="O50" i="3" s="1"/>
  <c r="N48" i="3"/>
  <c r="O48" i="3" s="1"/>
  <c r="F53" i="3"/>
  <c r="F52" i="3"/>
  <c r="N6" i="3"/>
  <c r="O6" i="3" s="1"/>
  <c r="N19" i="3"/>
  <c r="O19" i="3" s="1"/>
  <c r="N47" i="3"/>
  <c r="O47" i="3" s="1"/>
  <c r="G53" i="3" l="1"/>
  <c r="G32" i="3"/>
  <c r="N53" i="3"/>
  <c r="N32" i="3"/>
  <c r="O32" i="3" s="1"/>
  <c r="N33" i="3"/>
  <c r="O33" i="3" s="1"/>
  <c r="N34" i="3"/>
  <c r="O34" i="3" s="1"/>
  <c r="N36" i="3"/>
  <c r="O36" i="3" s="1"/>
  <c r="N37" i="3"/>
  <c r="O37" i="3" s="1"/>
  <c r="N35" i="3"/>
  <c r="O35" i="3" s="1"/>
  <c r="N38" i="3"/>
  <c r="O38" i="3" s="1"/>
  <c r="N41" i="3"/>
  <c r="O41" i="3" s="1"/>
  <c r="N39" i="3"/>
  <c r="O39" i="3" s="1"/>
  <c r="N40" i="3"/>
  <c r="O40" i="3" s="1"/>
  <c r="N42" i="3"/>
  <c r="O42" i="3" s="1"/>
  <c r="N43" i="3"/>
  <c r="O43" i="3" s="1"/>
  <c r="N44" i="3"/>
  <c r="O44" i="3" s="1"/>
  <c r="N46" i="3"/>
  <c r="O46" i="3" s="1"/>
  <c r="N51" i="3"/>
  <c r="O51" i="3" s="1"/>
  <c r="G33" i="3" l="1"/>
  <c r="H32" i="3"/>
  <c r="H33" i="3" l="1"/>
  <c r="G34" i="3"/>
  <c r="G35" i="3" l="1"/>
  <c r="H34" i="3"/>
  <c r="H35" i="3" l="1"/>
  <c r="G36" i="3"/>
  <c r="G37" i="3" l="1"/>
  <c r="H36" i="3"/>
  <c r="H37" i="3" l="1"/>
  <c r="G38" i="3"/>
  <c r="H38" i="3" l="1"/>
  <c r="G39" i="3"/>
  <c r="G40" i="3" l="1"/>
  <c r="H39" i="3"/>
  <c r="H40" i="3" l="1"/>
  <c r="G41" i="3"/>
  <c r="G42" i="3" l="1"/>
  <c r="H41" i="3"/>
  <c r="H42" i="3" l="1"/>
  <c r="G43" i="3"/>
  <c r="H43" i="3" l="1"/>
  <c r="G44" i="3"/>
  <c r="H44" i="3" l="1"/>
  <c r="G45" i="3"/>
  <c r="G46" i="3" l="1"/>
  <c r="H45" i="3"/>
  <c r="H46" i="3" l="1"/>
  <c r="G47" i="3"/>
  <c r="G48" i="3" l="1"/>
  <c r="H47" i="3"/>
  <c r="H48" i="3" l="1"/>
  <c r="G49" i="3"/>
  <c r="G50" i="3" l="1"/>
  <c r="H49" i="3"/>
  <c r="H50" i="3" l="1"/>
  <c r="G51" i="3"/>
  <c r="G52" i="3" l="1"/>
  <c r="H52" i="3" s="1"/>
  <c r="H51" i="3"/>
</calcChain>
</file>

<file path=xl/sharedStrings.xml><?xml version="1.0" encoding="utf-8"?>
<sst xmlns="http://schemas.openxmlformats.org/spreadsheetml/2006/main" count="113" uniqueCount="64">
  <si>
    <t>Exercice 0</t>
  </si>
  <si>
    <t>A partir des nombres de survivants à l'âge exacte et le taux de mortalité</t>
  </si>
  <si>
    <t>de la dernier group d'âge calculez tous les indicateurs d'une table de mortalité</t>
  </si>
  <si>
    <t>pour la population française de sexe féminin en 1816 et 2010</t>
  </si>
  <si>
    <t>Exercice 1</t>
  </si>
  <si>
    <t>A partir de taux de mortalité par groupes d'âge et par sexe</t>
  </si>
  <si>
    <t xml:space="preserve"> -Construisez les tables abrégées de mortalité masculine et féminine à partir de taux en utilisant les hypothèses différentes sur la distibution de la probabilité de survie à l'intérieur des intervalles d'âges.</t>
  </si>
  <si>
    <t>- Calculez la durée moyenne de vie à l'âge actif (15-65 ans) pour les hommes et pour les femmes.</t>
  </si>
  <si>
    <t xml:space="preserve"> -Quelles est la probabilité de survivre jusqu'à l'âge de 60 ans pour un homme et pour une femmes qui ont atteint 18 ans.</t>
  </si>
  <si>
    <t>Exercice 2</t>
  </si>
  <si>
    <t>https://www.insee.fr/fr/statistiques/2045470</t>
  </si>
  <si>
    <t>A partir des données de la statistiques d'état civil de l'année 2014</t>
  </si>
  <si>
    <t>- sur les décès selon le sexe, l'âge en années révolues  en 2014 (INSEE, Table T 73)</t>
  </si>
  <si>
    <t xml:space="preserve">https://www.insee.fr/fr/statistiques/1406298?sommaire=1406302 </t>
  </si>
  <si>
    <t>https://www.insee.fr/fr/statistiques/fichier/3053193/T73.xls</t>
  </si>
  <si>
    <t>- sur les décès d'enfants de moins d'un an selon le sexe et la durée de vie (INSEE, Table T 77)</t>
  </si>
  <si>
    <t xml:space="preserve">https://www.insee.fr/fr/statistiques/2117274?sommaire=2117290 </t>
  </si>
  <si>
    <t>https://www.insee.fr/fr/statistiques/fichier/3124970/T77.xls</t>
  </si>
  <si>
    <t>- sur la répatition de la population par âge révolu et par sexe au 1 janvier</t>
  </si>
  <si>
    <t>https://www.insee.fr/fr/statistiques/4503164?sommaire=4503178</t>
  </si>
  <si>
    <t xml:space="preserve">https://www.insee.fr/fr/statistiques/fichier/4503164/fm_t6.xlsx </t>
  </si>
  <si>
    <t xml:space="preserve">construisez la table de mortalité masculine et féminine pour la France métropolitaine de 2014 </t>
  </si>
  <si>
    <t>1 - avec la méthode "actuarielle" directe (calculs directe des quotients par âge)</t>
  </si>
  <si>
    <t>2 - à partir de l'hypothèse de la croissance exponentielle</t>
  </si>
  <si>
    <t>3 - avec l'algorithme de l'INSEE</t>
  </si>
  <si>
    <t>4 - comparez les résultats</t>
  </si>
  <si>
    <t>5 -présentez graphiquement les élements principaux de la table de mortalité</t>
  </si>
  <si>
    <t>6 -  quelle est la "durée de vie probable" en 2014, prezentez-la sur le graphique approprié</t>
  </si>
  <si>
    <t>7 - quelle est l'âge modal au décès selon les tables de mortalité 2014</t>
  </si>
  <si>
    <r>
      <t xml:space="preserve">hypothèse : si x&gt;1,--&gt; </t>
    </r>
    <r>
      <rPr>
        <b/>
        <vertAlign val="subscript"/>
        <sz val="10"/>
        <rFont val="Calibri"/>
        <family val="2"/>
        <charset val="204"/>
      </rPr>
      <t>n</t>
    </r>
    <r>
      <rPr>
        <b/>
        <sz val="10"/>
        <rFont val="Calibri"/>
        <family val="2"/>
        <charset val="204"/>
      </rPr>
      <t>a</t>
    </r>
    <r>
      <rPr>
        <b/>
        <vertAlign val="subscript"/>
        <sz val="10"/>
        <rFont val="Calibri"/>
        <family val="2"/>
        <charset val="204"/>
      </rPr>
      <t>x</t>
    </r>
    <r>
      <rPr>
        <b/>
        <sz val="10"/>
        <rFont val="Calibri"/>
        <family val="2"/>
        <charset val="204"/>
      </rPr>
      <t>=n/2 ; sinon</t>
    </r>
  </si>
  <si>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  <charset val="204"/>
      </rPr>
      <t>a</t>
    </r>
    <r>
      <rPr>
        <vertAlign val="subscript"/>
        <sz val="10"/>
        <rFont val="Calibri"/>
        <family val="2"/>
      </rPr>
      <t xml:space="preserve">0 </t>
    </r>
    <r>
      <rPr>
        <sz val="10"/>
        <rFont val="Calibri"/>
        <family val="2"/>
      </rPr>
      <t>=</t>
    </r>
  </si>
  <si>
    <t>Table hommes</t>
  </si>
  <si>
    <r>
      <rPr>
        <vertAlign val="subscript"/>
        <sz val="10"/>
        <rFont val="Calibri"/>
        <family val="2"/>
      </rPr>
      <t>4</t>
    </r>
    <r>
      <rPr>
        <sz val="10"/>
        <rFont val="Calibri"/>
        <family val="2"/>
        <charset val="204"/>
      </rPr>
      <t>a</t>
    </r>
    <r>
      <rPr>
        <vertAlign val="subscript"/>
        <sz val="10"/>
        <rFont val="Calibri"/>
        <family val="2"/>
      </rPr>
      <t xml:space="preserve">1 </t>
    </r>
    <r>
      <rPr>
        <sz val="10"/>
        <rFont val="Calibri"/>
        <family val="2"/>
      </rPr>
      <t>=</t>
    </r>
  </si>
  <si>
    <t>Table femmes</t>
  </si>
  <si>
    <t>Age</t>
  </si>
  <si>
    <t>n</t>
  </si>
  <si>
    <r>
      <t>n</t>
    </r>
    <r>
      <rPr>
        <sz val="10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</si>
  <si>
    <r>
      <t>n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</si>
  <si>
    <r>
      <t>S</t>
    </r>
    <r>
      <rPr>
        <vertAlign val="subscript"/>
        <sz val="10"/>
        <rFont val="Calibri"/>
        <family val="2"/>
        <charset val="204"/>
      </rPr>
      <t>x</t>
    </r>
  </si>
  <si>
    <r>
      <t>n</t>
    </r>
    <r>
      <rPr>
        <sz val="10"/>
        <rFont val="Calibri"/>
        <family val="2"/>
        <charset val="204"/>
      </rPr>
      <t>L</t>
    </r>
    <r>
      <rPr>
        <vertAlign val="subscript"/>
        <sz val="10"/>
        <rFont val="Calibri"/>
        <family val="2"/>
        <charset val="204"/>
      </rPr>
      <t>x</t>
    </r>
  </si>
  <si>
    <r>
      <t>T</t>
    </r>
    <r>
      <rPr>
        <vertAlign val="subscript"/>
        <sz val="10"/>
        <rFont val="Calibri"/>
        <family val="2"/>
        <charset val="204"/>
      </rPr>
      <t>x</t>
    </r>
  </si>
  <si>
    <r>
      <t>e</t>
    </r>
    <r>
      <rPr>
        <vertAlign val="subscript"/>
        <sz val="10"/>
        <rFont val="Calibri"/>
        <family val="2"/>
        <charset val="204"/>
      </rPr>
      <t>x</t>
    </r>
  </si>
  <si>
    <t>avec la formules de conversion "actuarielle"</t>
  </si>
  <si>
    <r>
      <rPr>
        <vertAlign val="subscript"/>
        <sz val="10"/>
        <rFont val="Calibri"/>
        <family val="2"/>
        <charset val="204"/>
      </rPr>
      <t>3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15</t>
    </r>
  </si>
  <si>
    <r>
      <t>S</t>
    </r>
    <r>
      <rPr>
        <vertAlign val="subscript"/>
        <sz val="10"/>
        <rFont val="Calibri"/>
        <family val="2"/>
        <charset val="204"/>
      </rPr>
      <t>18</t>
    </r>
  </si>
  <si>
    <r>
      <rPr>
        <vertAlign val="subscript"/>
        <sz val="10"/>
        <rFont val="Calibri"/>
        <family val="2"/>
        <charset val="204"/>
      </rPr>
      <t>42</t>
    </r>
    <r>
      <rPr>
        <sz val="10"/>
        <rFont val="Calibri"/>
        <family val="2"/>
        <charset val="204"/>
      </rPr>
      <t>p</t>
    </r>
    <r>
      <rPr>
        <vertAlign val="subscript"/>
        <sz val="10"/>
        <rFont val="Calibri"/>
        <family val="2"/>
        <charset val="204"/>
      </rPr>
      <t>18</t>
    </r>
  </si>
  <si>
    <t>avec la formules "exponentielle"</t>
  </si>
  <si>
    <t>100 +</t>
  </si>
  <si>
    <r>
      <t>50</t>
    </r>
    <r>
      <rPr>
        <sz val="12"/>
        <rFont val="Calibri"/>
        <family val="2"/>
        <charset val="204"/>
      </rPr>
      <t>e</t>
    </r>
    <r>
      <rPr>
        <vertAlign val="subscript"/>
        <sz val="10"/>
        <rFont val="Calibri"/>
        <family val="2"/>
        <charset val="204"/>
      </rPr>
      <t>15</t>
    </r>
    <r>
      <rPr>
        <sz val="10"/>
        <rFont val="Calibri"/>
        <family val="2"/>
        <charset val="204"/>
      </rPr>
      <t>=</t>
    </r>
  </si>
  <si>
    <r>
      <t xml:space="preserve">hypothèse --&gt; </t>
    </r>
    <r>
      <rPr>
        <vertAlign val="subscript"/>
        <sz val="10"/>
        <rFont val="Calibri"/>
        <family val="2"/>
        <charset val="204"/>
      </rPr>
      <t>n</t>
    </r>
    <r>
      <rPr>
        <sz val="12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>=</t>
    </r>
    <r>
      <rPr>
        <sz val="12"/>
        <rFont val="Calibri"/>
        <family val="2"/>
        <charset val="204"/>
      </rPr>
      <t>1-</t>
    </r>
    <r>
      <rPr>
        <sz val="10"/>
        <rFont val="Calibri"/>
        <family val="2"/>
        <charset val="204"/>
      </rPr>
      <t>exp(-</t>
    </r>
    <r>
      <rPr>
        <sz val="12"/>
        <rFont val="Calibri"/>
        <family val="2"/>
        <charset val="204"/>
      </rPr>
      <t>n</t>
    </r>
    <r>
      <rPr>
        <sz val="10"/>
        <rFont val="Calibri"/>
        <family val="2"/>
        <charset val="204"/>
      </rPr>
      <t>*</t>
    </r>
    <r>
      <rPr>
        <vertAlign val="subscript"/>
        <sz val="10"/>
        <rFont val="Calibri"/>
        <family val="2"/>
        <charset val="204"/>
      </rPr>
      <t>n</t>
    </r>
    <r>
      <rPr>
        <sz val="12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>)</t>
    </r>
  </si>
  <si>
    <r>
      <t>42</t>
    </r>
    <r>
      <rPr>
        <sz val="10"/>
        <rFont val="Calibri"/>
        <family val="2"/>
        <charset val="204"/>
      </rPr>
      <t>p</t>
    </r>
    <r>
      <rPr>
        <vertAlign val="subscript"/>
        <sz val="10"/>
        <rFont val="Calibri"/>
        <family val="2"/>
        <charset val="204"/>
      </rPr>
      <t>18</t>
    </r>
    <r>
      <rPr>
        <sz val="10"/>
        <rFont val="Arial"/>
        <family val="2"/>
        <charset val="204"/>
      </rPr>
      <t/>
    </r>
  </si>
  <si>
    <t>=?</t>
  </si>
  <si>
    <t>1)</t>
  </si>
  <si>
    <r>
      <t>3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15</t>
    </r>
    <r>
      <rPr>
        <sz val="10"/>
        <rFont val="Calibri"/>
        <family val="2"/>
        <charset val="204"/>
      </rPr>
      <t xml:space="preserve"> =</t>
    </r>
  </si>
  <si>
    <t>2)</t>
  </si>
  <si>
    <r>
      <t>S</t>
    </r>
    <r>
      <rPr>
        <vertAlign val="subscript"/>
        <sz val="10"/>
        <rFont val="Calibri"/>
        <family val="2"/>
        <charset val="204"/>
      </rPr>
      <t>18</t>
    </r>
    <r>
      <rPr>
        <sz val="10"/>
        <rFont val="Calibri"/>
        <family val="2"/>
        <charset val="204"/>
      </rPr>
      <t xml:space="preserve"> =</t>
    </r>
  </si>
  <si>
    <t>3)</t>
  </si>
  <si>
    <r>
      <t>S</t>
    </r>
    <r>
      <rPr>
        <vertAlign val="subscript"/>
        <sz val="10"/>
        <rFont val="Calibri"/>
        <family val="2"/>
        <charset val="204"/>
      </rPr>
      <t>60</t>
    </r>
    <r>
      <rPr>
        <sz val="10"/>
        <rFont val="Calibri"/>
        <family val="2"/>
        <charset val="204"/>
      </rPr>
      <t xml:space="preserve"> =</t>
    </r>
  </si>
  <si>
    <t>avec la formule "exponentielle"</t>
  </si>
  <si>
    <r>
      <t xml:space="preserve">Méthode alternative de calculs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L</t>
    </r>
    <r>
      <rPr>
        <vertAlign val="subscript"/>
        <sz val="10"/>
        <rFont val="Calibri"/>
        <family val="2"/>
        <charset val="204"/>
      </rPr>
      <t>x</t>
    </r>
  </si>
  <si>
    <t>Hommes</t>
  </si>
  <si>
    <t>Femmes</t>
  </si>
  <si>
    <t>avec la formule de conversion</t>
  </si>
  <si>
    <r>
      <t xml:space="preserve">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 xml:space="preserve"> --&gt;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 xml:space="preserve"> dite "actuarielle"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</si>
</sst>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"/>
    <numFmt numFmtId="165" formatCode="0.0000"/>
    <numFmt numFmtId="166" formatCode="0.000000"/>
    <numFmt numFmtId="167" formatCode="0.000"/>
    <numFmt numFmtId="168" formatCode="0.0000000"/>
    <numFmt numFmtId="169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9"/>
      <name val="Calibri"/>
      <family val="2"/>
      <charset val="204"/>
      <scheme val="minor"/>
    </font>
    <font>
      <u/>
      <sz val="9"/>
      <color theme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vertAlign val="subscript"/>
      <sz val="10"/>
      <name val="Calibri"/>
      <family val="2"/>
      <charset val="204"/>
    </font>
    <font>
      <sz val="10"/>
      <name val="Calibri"/>
      <family val="2"/>
    </font>
    <font>
      <vertAlign val="subscript"/>
      <sz val="10"/>
      <name val="Calibri"/>
      <family val="2"/>
    </font>
    <font>
      <vertAlign val="subscript"/>
      <sz val="10"/>
      <name val="Calibri"/>
      <family val="2"/>
      <charset val="204"/>
    </font>
    <font>
      <sz val="10"/>
      <color indexed="10"/>
      <name val="Calibri"/>
      <family val="2"/>
      <charset val="204"/>
    </font>
    <font>
      <i/>
      <sz val="10"/>
      <color indexed="10"/>
      <name val="Calibri"/>
      <family val="2"/>
      <charset val="204"/>
    </font>
    <font>
      <sz val="12"/>
      <name val="Calibri"/>
      <family val="2"/>
      <charset val="204"/>
    </font>
    <font>
      <i/>
      <sz val="10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quotePrefix="1" applyFont="1" applyAlignment="1">
      <alignment horizontal="left"/>
    </xf>
    <xf numFmtId="0" fontId="5" fillId="0" borderId="0" xfId="1" quotePrefix="1" applyFont="1" applyAlignment="1">
      <alignment horizontal="left"/>
    </xf>
    <xf numFmtId="0" fontId="6" fillId="0" borderId="0" xfId="2"/>
    <xf numFmtId="0" fontId="7" fillId="0" borderId="0" xfId="1" applyFont="1"/>
    <xf numFmtId="0" fontId="3" fillId="0" borderId="0" xfId="1" quotePrefix="1" applyFont="1"/>
    <xf numFmtId="0" fontId="8" fillId="0" borderId="0" xfId="2" applyFont="1"/>
    <xf numFmtId="0" fontId="9" fillId="0" borderId="0" xfId="1" applyFont="1"/>
    <xf numFmtId="0" fontId="10" fillId="0" borderId="0" xfId="1" applyFont="1"/>
    <xf numFmtId="0" fontId="12" fillId="0" borderId="0" xfId="1" applyFont="1"/>
    <xf numFmtId="2" fontId="9" fillId="0" borderId="0" xfId="1" applyNumberFormat="1" applyFont="1"/>
    <xf numFmtId="0" fontId="9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164" fontId="9" fillId="0" borderId="0" xfId="1" applyNumberFormat="1" applyFont="1" applyAlignment="1">
      <alignment horizontal="right"/>
    </xf>
    <xf numFmtId="165" fontId="9" fillId="0" borderId="0" xfId="1" applyNumberFormat="1" applyFont="1"/>
    <xf numFmtId="166" fontId="9" fillId="0" borderId="0" xfId="1" applyNumberFormat="1" applyFont="1"/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167" fontId="9" fillId="0" borderId="0" xfId="1" applyNumberFormat="1" applyFont="1"/>
    <xf numFmtId="3" fontId="15" fillId="0" borderId="0" xfId="1" applyNumberFormat="1" applyFont="1"/>
    <xf numFmtId="3" fontId="16" fillId="0" borderId="0" xfId="1" applyNumberFormat="1" applyFont="1"/>
    <xf numFmtId="4" fontId="9" fillId="0" borderId="0" xfId="1" applyNumberFormat="1" applyFont="1"/>
    <xf numFmtId="0" fontId="14" fillId="2" borderId="0" xfId="1" quotePrefix="1" applyFont="1" applyFill="1" applyAlignment="1">
      <alignment horizontal="center"/>
    </xf>
    <xf numFmtId="4" fontId="9" fillId="2" borderId="0" xfId="1" applyNumberFormat="1" applyFont="1" applyFill="1" applyAlignment="1">
      <alignment horizontal="left"/>
    </xf>
    <xf numFmtId="3" fontId="18" fillId="0" borderId="0" xfId="1" applyNumberFormat="1" applyFont="1"/>
    <xf numFmtId="4" fontId="9" fillId="2" borderId="0" xfId="1" applyNumberFormat="1" applyFont="1" applyFill="1"/>
    <xf numFmtId="0" fontId="9" fillId="0" borderId="0" xfId="1" quotePrefix="1" applyFont="1"/>
    <xf numFmtId="0" fontId="14" fillId="2" borderId="0" xfId="1" applyFont="1" applyFill="1" applyAlignment="1">
      <alignment horizontal="center"/>
    </xf>
    <xf numFmtId="10" fontId="9" fillId="2" borderId="0" xfId="3" applyNumberFormat="1" applyFont="1" applyFill="1"/>
    <xf numFmtId="0" fontId="9" fillId="0" borderId="0" xfId="0" applyFont="1"/>
    <xf numFmtId="2" fontId="9" fillId="0" borderId="0" xfId="0" applyNumberFormat="1" applyFont="1"/>
    <xf numFmtId="168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right"/>
    </xf>
    <xf numFmtId="169" fontId="9" fillId="0" borderId="0" xfId="0" applyNumberFormat="1" applyFont="1"/>
    <xf numFmtId="4" fontId="9" fillId="0" borderId="0" xfId="0" applyNumberFormat="1" applyFont="1"/>
  </cellXfs>
  <cellStyles count="4">
    <cellStyle name="Lien hypertexte 2" xfId="2" xr:uid="{EC090410-9DF9-423E-9CD7-187F23A4F5CB}"/>
    <cellStyle name="Normal" xfId="0" builtinId="0"/>
    <cellStyle name="Normal 2 2" xfId="1" xr:uid="{1D8AEC0A-8BD5-45FE-93C0-BFA818D16CED}"/>
    <cellStyle name="Pourcentage 2" xfId="3" xr:uid="{B1FD6D81-193D-4F05-AD85-71B7262F51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insee.fr/fr/statistiques/fichier/3053193/T73.xls" TargetMode="External"/><Relationship Id="rId7" Type="http://schemas.openxmlformats.org/officeDocument/2006/relationships/hyperlink" Target="https://www.insee.fr/fr/statistiques/2117274?sommaire=2117290" TargetMode="External"/><Relationship Id="rId2" Type="http://schemas.openxmlformats.org/officeDocument/2006/relationships/hyperlink" Target="https://www.insee.fr/fr/statistiques/fichier/3124970/T77.xls" TargetMode="External"/><Relationship Id="rId1" Type="http://schemas.openxmlformats.org/officeDocument/2006/relationships/hyperlink" Target="https://www.insee.fr/fr/statistiques/2045470" TargetMode="External"/><Relationship Id="rId6" Type="http://schemas.openxmlformats.org/officeDocument/2006/relationships/hyperlink" Target="https://www.insee.fr/fr/statistiques/1406298?sommaire=1406302" TargetMode="External"/><Relationship Id="rId5" Type="http://schemas.openxmlformats.org/officeDocument/2006/relationships/hyperlink" Target="https://www.insee.fr/fr/statistiques/4503164?sommaire=4503178" TargetMode="External"/><Relationship Id="rId4" Type="http://schemas.openxmlformats.org/officeDocument/2006/relationships/hyperlink" Target="https://www.insee.fr/fr/statistiques/fichier/4503164/fm_t6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D03A-F27D-465A-B9EA-340CC270CC2F}">
  <dimension ref="B2:O30"/>
  <sheetViews>
    <sheetView topLeftCell="A7" workbookViewId="0">
      <selection activeCell="H26" sqref="H26"/>
    </sheetView>
  </sheetViews>
  <sheetFormatPr baseColWidth="10" defaultColWidth="11.33203125" defaultRowHeight="14.25" x14ac:dyDescent="0.45"/>
  <cols>
    <col min="1" max="1" width="2.265625" style="2" customWidth="1"/>
    <col min="2" max="2" width="5.796875" style="2" customWidth="1"/>
    <col min="3" max="8" width="11.33203125" style="2"/>
    <col min="9" max="9" width="4.265625" style="2" customWidth="1"/>
    <col min="10" max="10" width="11.33203125" style="3"/>
    <col min="11" max="13" width="11.33203125" style="2"/>
    <col min="14" max="14" width="4.59765625" style="2" customWidth="1"/>
    <col min="15" max="16384" width="11.33203125" style="2"/>
  </cols>
  <sheetData>
    <row r="2" spans="2:15" x14ac:dyDescent="0.45">
      <c r="B2" s="1" t="s">
        <v>0</v>
      </c>
    </row>
    <row r="3" spans="2:15" x14ac:dyDescent="0.45">
      <c r="B3" s="2" t="s">
        <v>1</v>
      </c>
    </row>
    <row r="4" spans="2:15" x14ac:dyDescent="0.45">
      <c r="B4" s="2" t="s">
        <v>2</v>
      </c>
    </row>
    <row r="5" spans="2:15" x14ac:dyDescent="0.45">
      <c r="B5" s="2" t="s">
        <v>3</v>
      </c>
    </row>
    <row r="7" spans="2:15" x14ac:dyDescent="0.45">
      <c r="B7" s="1" t="s">
        <v>4</v>
      </c>
    </row>
    <row r="8" spans="2:15" x14ac:dyDescent="0.45">
      <c r="B8" s="2" t="s">
        <v>5</v>
      </c>
    </row>
    <row r="10" spans="2:15" x14ac:dyDescent="0.45">
      <c r="B10" s="4" t="s">
        <v>6</v>
      </c>
    </row>
    <row r="11" spans="2:15" x14ac:dyDescent="0.45">
      <c r="B11" s="5" t="s">
        <v>7</v>
      </c>
    </row>
    <row r="12" spans="2:15" x14ac:dyDescent="0.45">
      <c r="B12" s="5" t="s">
        <v>8</v>
      </c>
    </row>
    <row r="14" spans="2:15" x14ac:dyDescent="0.45">
      <c r="B14" s="1" t="s">
        <v>9</v>
      </c>
      <c r="D14" s="6" t="s">
        <v>10</v>
      </c>
    </row>
    <row r="15" spans="2:15" x14ac:dyDescent="0.45">
      <c r="J15" s="7"/>
      <c r="K15" s="7"/>
      <c r="L15" s="7"/>
      <c r="M15" s="7"/>
      <c r="N15" s="7"/>
      <c r="O15" s="7"/>
    </row>
    <row r="16" spans="2:15" x14ac:dyDescent="0.45">
      <c r="B16" s="2" t="s">
        <v>11</v>
      </c>
      <c r="J16" s="7"/>
      <c r="K16" s="7"/>
      <c r="L16" s="7"/>
      <c r="M16" s="7"/>
      <c r="N16" s="7"/>
      <c r="O16" s="7"/>
    </row>
    <row r="17" spans="2:15" x14ac:dyDescent="0.45">
      <c r="B17" s="8" t="s">
        <v>12</v>
      </c>
      <c r="J17" s="9" t="s">
        <v>13</v>
      </c>
      <c r="K17" s="7"/>
      <c r="L17" s="7"/>
      <c r="M17" s="7"/>
      <c r="N17" s="7"/>
      <c r="O17" s="9" t="s">
        <v>14</v>
      </c>
    </row>
    <row r="18" spans="2:15" x14ac:dyDescent="0.45">
      <c r="B18" s="8" t="s">
        <v>15</v>
      </c>
      <c r="J18" s="9" t="s">
        <v>16</v>
      </c>
      <c r="K18" s="7"/>
      <c r="L18" s="7"/>
      <c r="M18" s="7"/>
      <c r="N18" s="7"/>
      <c r="O18" s="9" t="s">
        <v>17</v>
      </c>
    </row>
    <row r="19" spans="2:15" x14ac:dyDescent="0.45">
      <c r="B19" s="8" t="s">
        <v>18</v>
      </c>
      <c r="J19" s="9" t="s">
        <v>19</v>
      </c>
      <c r="K19" s="7"/>
      <c r="L19" s="7"/>
      <c r="M19" s="7"/>
      <c r="N19" s="7"/>
      <c r="O19" s="9" t="s">
        <v>20</v>
      </c>
    </row>
    <row r="20" spans="2:15" x14ac:dyDescent="0.45">
      <c r="B20" s="8"/>
      <c r="J20" s="7"/>
      <c r="K20" s="7"/>
      <c r="L20" s="7"/>
      <c r="M20" s="7"/>
      <c r="N20" s="7"/>
      <c r="O20" s="7"/>
    </row>
    <row r="21" spans="2:15" x14ac:dyDescent="0.45">
      <c r="B21" s="2" t="s">
        <v>21</v>
      </c>
      <c r="O21" s="7"/>
    </row>
    <row r="22" spans="2:15" x14ac:dyDescent="0.45">
      <c r="B22" s="2" t="s">
        <v>22</v>
      </c>
      <c r="O22" s="7"/>
    </row>
    <row r="23" spans="2:15" x14ac:dyDescent="0.45">
      <c r="B23" s="2" t="s">
        <v>23</v>
      </c>
      <c r="O23" s="7"/>
    </row>
    <row r="24" spans="2:15" x14ac:dyDescent="0.45">
      <c r="B24" s="2" t="s">
        <v>24</v>
      </c>
    </row>
    <row r="25" spans="2:15" x14ac:dyDescent="0.45">
      <c r="B25" s="2" t="s">
        <v>25</v>
      </c>
    </row>
    <row r="26" spans="2:15" x14ac:dyDescent="0.45">
      <c r="B26" s="2" t="s">
        <v>26</v>
      </c>
    </row>
    <row r="27" spans="2:15" x14ac:dyDescent="0.45">
      <c r="B27" s="2" t="s">
        <v>27</v>
      </c>
    </row>
    <row r="28" spans="2:15" x14ac:dyDescent="0.45">
      <c r="B28" s="2" t="s">
        <v>28</v>
      </c>
    </row>
    <row r="30" spans="2:15" x14ac:dyDescent="0.45">
      <c r="B30" s="8"/>
    </row>
  </sheetData>
  <hyperlinks>
    <hyperlink ref="D14" r:id="rId1" xr:uid="{D1D8E2AD-BB30-4065-9746-846098891743}"/>
    <hyperlink ref="O18" r:id="rId2" xr:uid="{7818E1F8-38A8-4DB3-97BB-7E40545E428A}"/>
    <hyperlink ref="O17" r:id="rId3" xr:uid="{7F470ECA-4176-47BB-B801-1F5A6D75D915}"/>
    <hyperlink ref="O19" r:id="rId4" xr:uid="{6707F197-24C7-4072-A646-E2A932E3789C}"/>
    <hyperlink ref="J19" r:id="rId5" xr:uid="{8D3F5F03-E205-4C0E-A448-112146064808}"/>
    <hyperlink ref="J17" r:id="rId6" xr:uid="{1E5E4AD4-08D8-41E0-840D-DE2F6894C67A}"/>
    <hyperlink ref="J18" r:id="rId7" xr:uid="{FF0719BD-B032-4F3E-854E-674DEAC67738}"/>
  </hyperlinks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657B-6BF9-4A8E-BF60-5FD35163E593}">
  <dimension ref="A1:V61"/>
  <sheetViews>
    <sheetView tabSelected="1" workbookViewId="0">
      <selection activeCell="R20" sqref="R20"/>
    </sheetView>
  </sheetViews>
  <sheetFormatPr baseColWidth="10" defaultColWidth="11.33203125" defaultRowHeight="13.15" x14ac:dyDescent="0.4"/>
  <cols>
    <col min="1" max="1" width="6.19921875" style="10" customWidth="1"/>
    <col min="2" max="2" width="4.73046875" style="10" customWidth="1"/>
    <col min="3" max="3" width="7.33203125" style="10" customWidth="1"/>
    <col min="4" max="4" width="8.796875" style="10" customWidth="1"/>
    <col min="5" max="6" width="7.33203125" style="10" customWidth="1"/>
    <col min="7" max="7" width="9.73046875" style="10" customWidth="1"/>
    <col min="8" max="8" width="7.33203125" style="10" customWidth="1"/>
    <col min="9" max="9" width="5" style="10" customWidth="1"/>
    <col min="10" max="11" width="9" style="10" customWidth="1"/>
    <col min="12" max="15" width="7.59765625" style="10" customWidth="1"/>
    <col min="16" max="16" width="6.46484375" style="32" customWidth="1"/>
    <col min="17" max="17" width="12.19921875" style="32" bestFit="1" customWidth="1"/>
    <col min="18" max="18" width="11.33203125" style="32"/>
    <col min="19" max="19" width="5.33203125" style="32" customWidth="1"/>
    <col min="20" max="21" width="9.59765625" style="32" customWidth="1"/>
    <col min="22" max="22" width="11.33203125" style="32"/>
    <col min="23" max="16384" width="11.33203125" style="10"/>
  </cols>
  <sheetData>
    <row r="1" spans="1:21" ht="15.4" x14ac:dyDescent="0.55000000000000004">
      <c r="B1" s="11" t="s">
        <v>29</v>
      </c>
      <c r="F1" s="12" t="s">
        <v>30</v>
      </c>
      <c r="G1" s="10">
        <f>0.045+2.684*C4</f>
        <v>5.5074013315855735E-2</v>
      </c>
      <c r="L1" s="12" t="s">
        <v>30</v>
      </c>
      <c r="M1" s="10">
        <f>0.053+2.8*J4</f>
        <v>6.1769614113597715E-2</v>
      </c>
    </row>
    <row r="2" spans="1:21" ht="15.4" x14ac:dyDescent="0.55000000000000004">
      <c r="B2" s="10" t="s">
        <v>31</v>
      </c>
      <c r="F2" s="12" t="s">
        <v>32</v>
      </c>
      <c r="G2" s="10">
        <f>1.651-2.861*C4</f>
        <v>1.6402616422888736</v>
      </c>
      <c r="I2" s="10" t="s">
        <v>33</v>
      </c>
      <c r="L2" s="12" t="s">
        <v>32</v>
      </c>
      <c r="M2" s="10">
        <f>1.522-1.518*J4</f>
        <v>1.5172456163484138</v>
      </c>
      <c r="Q2" s="33"/>
      <c r="T2" s="32" t="s">
        <v>59</v>
      </c>
    </row>
    <row r="3" spans="1:21" ht="15.4" x14ac:dyDescent="0.55000000000000004">
      <c r="A3" s="14" t="s">
        <v>34</v>
      </c>
      <c r="B3" s="14" t="s">
        <v>35</v>
      </c>
      <c r="C3" s="15" t="s">
        <v>36</v>
      </c>
      <c r="D3" s="15" t="s">
        <v>37</v>
      </c>
      <c r="E3" s="14" t="s">
        <v>38</v>
      </c>
      <c r="F3" s="15" t="s">
        <v>39</v>
      </c>
      <c r="G3" s="14" t="s">
        <v>40</v>
      </c>
      <c r="H3" s="14" t="s">
        <v>41</v>
      </c>
      <c r="I3" s="14" t="s">
        <v>35</v>
      </c>
      <c r="J3" s="15" t="s">
        <v>36</v>
      </c>
      <c r="K3" s="15" t="s">
        <v>37</v>
      </c>
      <c r="L3" s="14" t="s">
        <v>38</v>
      </c>
      <c r="M3" s="15" t="s">
        <v>39</v>
      </c>
      <c r="N3" s="14" t="s">
        <v>40</v>
      </c>
      <c r="O3" s="14" t="s">
        <v>41</v>
      </c>
      <c r="Q3" s="33"/>
      <c r="T3" s="32" t="s">
        <v>60</v>
      </c>
      <c r="U3" s="32" t="s">
        <v>61</v>
      </c>
    </row>
    <row r="4" spans="1:21" x14ac:dyDescent="0.4">
      <c r="A4" s="14">
        <v>0</v>
      </c>
      <c r="B4" s="16">
        <v>1</v>
      </c>
      <c r="C4" s="17">
        <v>3.7533581653709882E-3</v>
      </c>
      <c r="D4" s="18">
        <f>(C4*B4)/(1+(B4-G1)*C4)</f>
        <v>3.7400933793898371E-3</v>
      </c>
      <c r="E4" s="19">
        <v>10000</v>
      </c>
      <c r="F4" s="20">
        <f>E5*B4+(E4-E5)*G1</f>
        <v>9964.6588857318911</v>
      </c>
      <c r="G4" s="20">
        <f>SUM(F4:$F$25)</f>
        <v>792851.64127215324</v>
      </c>
      <c r="H4" s="21">
        <f>G4/E4</f>
        <v>79.285164127215324</v>
      </c>
      <c r="I4" s="16">
        <v>1</v>
      </c>
      <c r="J4" s="17">
        <v>3.1320050405706122E-3</v>
      </c>
      <c r="K4" s="18">
        <f>(J4*I4)/(1+(I4-M1)*J4)</f>
        <v>3.1228284770021273E-3</v>
      </c>
      <c r="L4" s="19">
        <v>10000</v>
      </c>
      <c r="M4" s="20">
        <f>L5*I4+(L4-L5)*M1</f>
        <v>9970.7006743296515</v>
      </c>
      <c r="N4" s="20">
        <f>SUM(M4:$M$25)</f>
        <v>854066.44162111753</v>
      </c>
      <c r="O4" s="13">
        <f>N4/L4</f>
        <v>85.406644162111746</v>
      </c>
      <c r="Q4" s="34"/>
      <c r="T4" s="35">
        <f>(E4-E5)/C4</f>
        <v>9964.6588857319875</v>
      </c>
      <c r="U4" s="35">
        <f>(L4-L5)/J4</f>
        <v>9970.7006743300699</v>
      </c>
    </row>
    <row r="5" spans="1:21" x14ac:dyDescent="0.4">
      <c r="A5" s="14">
        <v>1</v>
      </c>
      <c r="B5" s="16">
        <v>4</v>
      </c>
      <c r="C5" s="17">
        <v>1.7074436984616624E-4</v>
      </c>
      <c r="D5" s="18">
        <f>(C5*B5)/(1+(B5-G2)*C5)</f>
        <v>6.8270241036455038E-4</v>
      </c>
      <c r="E5" s="20">
        <f>E4*(1-D4)</f>
        <v>9962.5990662061013</v>
      </c>
      <c r="F5" s="20">
        <f>E6*B5+(E5-E6)*G2</f>
        <v>39834.346527047375</v>
      </c>
      <c r="G5" s="20">
        <f>SUM(F5:$F$25)</f>
        <v>782886.98238642141</v>
      </c>
      <c r="H5" s="13">
        <f t="shared" ref="H5:H24" si="0">G5/E5</f>
        <v>78.582604517533383</v>
      </c>
      <c r="I5" s="16">
        <v>4</v>
      </c>
      <c r="J5" s="17">
        <v>1.453608897936503E-4</v>
      </c>
      <c r="K5" s="18">
        <f>(J5*I5)/(1+(I5-M2)*J5)</f>
        <v>5.8123379457974858E-4</v>
      </c>
      <c r="L5" s="20">
        <f>L4*(1-K4)</f>
        <v>9968.7717152299774</v>
      </c>
      <c r="M5" s="20">
        <f>L6*I5+(L5-L6)*M2</f>
        <v>39860.701317717801</v>
      </c>
      <c r="N5" s="20">
        <f>SUM(M5:$M$25)</f>
        <v>844095.74094678788</v>
      </c>
      <c r="O5" s="13">
        <f t="shared" ref="O5:O25" si="1">N5/L5</f>
        <v>84.673996462092191</v>
      </c>
      <c r="T5" s="35">
        <f t="shared" ref="T5:T25" si="2">(E5-E6)/C5</f>
        <v>39834.346527043272</v>
      </c>
      <c r="U5" s="35">
        <f t="shared" ref="U5:U25" si="3">(L5-L6)/J5</f>
        <v>39860.701317720137</v>
      </c>
    </row>
    <row r="6" spans="1:21" x14ac:dyDescent="0.4">
      <c r="A6" s="14">
        <v>5</v>
      </c>
      <c r="B6" s="16">
        <v>5</v>
      </c>
      <c r="C6" s="17">
        <v>8.9915619350332626E-5</v>
      </c>
      <c r="D6" s="17">
        <f>(C6*B6)/(1+(B6-B6/2)*C6)</f>
        <v>4.4947705923125179E-4</v>
      </c>
      <c r="E6" s="20">
        <f t="shared" ref="E6:E25" si="4">E5*(1-D5)</f>
        <v>9955.7975758101074</v>
      </c>
      <c r="F6" s="20">
        <f t="shared" ref="F6:F24" si="5">0.5*(E6+E7)*B6</f>
        <v>49767.800622508839</v>
      </c>
      <c r="G6" s="20">
        <f>SUM(F6:$F$25)</f>
        <v>743052.63585937396</v>
      </c>
      <c r="H6" s="13">
        <f t="shared" si="0"/>
        <v>74.635169126458607</v>
      </c>
      <c r="I6" s="16">
        <v>5</v>
      </c>
      <c r="J6" s="17">
        <v>7.2141762686064558E-5</v>
      </c>
      <c r="K6" s="17">
        <f>(J6*I6)/(1+(I6-I6/2)*J6)</f>
        <v>3.606437697371963E-4</v>
      </c>
      <c r="L6" s="20">
        <f>L5*(1-K5)</f>
        <v>9962.9775282186347</v>
      </c>
      <c r="M6" s="20">
        <f t="shared" ref="M6:M24" si="6">0.5*(L6+L7)*I6</f>
        <v>49805.904926659212</v>
      </c>
      <c r="N6" s="20">
        <f>SUM(M6:$M$25)</f>
        <v>804235.03962907009</v>
      </c>
      <c r="O6" s="13">
        <f t="shared" si="1"/>
        <v>80.722358085340986</v>
      </c>
      <c r="Q6" s="32" t="s">
        <v>62</v>
      </c>
      <c r="T6" s="35">
        <f t="shared" si="2"/>
        <v>49767.80062251554</v>
      </c>
      <c r="U6" s="35">
        <f t="shared" si="3"/>
        <v>49805.904926661118</v>
      </c>
    </row>
    <row r="7" spans="1:21" ht="15.4" x14ac:dyDescent="0.55000000000000004">
      <c r="A7" s="14">
        <v>10</v>
      </c>
      <c r="B7" s="16">
        <v>5</v>
      </c>
      <c r="C7" s="17">
        <v>9.4401128093480721E-5</v>
      </c>
      <c r="D7" s="17">
        <f t="shared" ref="D7:D24" si="7">(C7*B7)/(1+(B7-B7/2)*C7)</f>
        <v>4.7189427208833861E-4</v>
      </c>
      <c r="E7" s="20">
        <f t="shared" si="4"/>
        <v>9951.3226731934301</v>
      </c>
      <c r="F7" s="20">
        <f t="shared" si="5"/>
        <v>49744.873435544199</v>
      </c>
      <c r="G7" s="20">
        <f>SUM(F7:$F$25)</f>
        <v>693284.83523686521</v>
      </c>
      <c r="H7" s="13">
        <f t="shared" si="0"/>
        <v>69.667606810139404</v>
      </c>
      <c r="I7" s="16">
        <v>5</v>
      </c>
      <c r="J7" s="17">
        <v>7.2242087362872257E-5</v>
      </c>
      <c r="K7" s="17">
        <f t="shared" ref="K7:K24" si="8">(J7*I7)/(1+(I7-I7/2)*J7)</f>
        <v>3.6114521210445244E-4</v>
      </c>
      <c r="L7" s="20">
        <f>L6*(1-K6)</f>
        <v>9959.3844424450508</v>
      </c>
      <c r="M7" s="20">
        <f t="shared" si="6"/>
        <v>49787.930252208011</v>
      </c>
      <c r="N7" s="20">
        <f>SUM(M7:$M$25)</f>
        <v>754429.13470241101</v>
      </c>
      <c r="O7" s="13">
        <f t="shared" si="1"/>
        <v>75.750578669016321</v>
      </c>
      <c r="Q7" s="32" t="s">
        <v>63</v>
      </c>
      <c r="T7" s="35">
        <f t="shared" si="2"/>
        <v>49744.873435554146</v>
      </c>
      <c r="U7" s="35">
        <f t="shared" si="3"/>
        <v>49787.930252213475</v>
      </c>
    </row>
    <row r="8" spans="1:21" ht="15.4" x14ac:dyDescent="0.55000000000000004">
      <c r="A8" s="14">
        <v>15</v>
      </c>
      <c r="B8" s="16">
        <v>5</v>
      </c>
      <c r="C8" s="17">
        <v>3.1304402890218572E-4</v>
      </c>
      <c r="D8" s="17">
        <f t="shared" si="7"/>
        <v>1.5639961453745898E-3</v>
      </c>
      <c r="E8" s="22">
        <f t="shared" si="4"/>
        <v>9946.6267010242464</v>
      </c>
      <c r="F8" s="23">
        <f t="shared" si="5"/>
        <v>49694.242290571528</v>
      </c>
      <c r="G8" s="20">
        <f>SUM(F8:$F$25)</f>
        <v>643539.96180132113</v>
      </c>
      <c r="H8" s="13">
        <f t="shared" si="0"/>
        <v>64.699317783289601</v>
      </c>
      <c r="I8" s="16">
        <v>5</v>
      </c>
      <c r="J8" s="17">
        <v>1.4514456613022093E-4</v>
      </c>
      <c r="K8" s="17">
        <f t="shared" si="8"/>
        <v>7.2545958935774882E-4</v>
      </c>
      <c r="L8" s="23">
        <f>L7*(1-K7)</f>
        <v>9955.7876584381538</v>
      </c>
      <c r="M8" s="23">
        <f t="shared" si="6"/>
        <v>49760.881988124711</v>
      </c>
      <c r="N8" s="20">
        <f>SUM(M8:$M$25)</f>
        <v>704641.20445020311</v>
      </c>
      <c r="O8" s="13">
        <f t="shared" si="1"/>
        <v>70.7770423220081</v>
      </c>
      <c r="P8" s="36" t="s">
        <v>43</v>
      </c>
      <c r="Q8" s="34">
        <f>C8*3/(1+(3-1.5)*C8)</f>
        <v>9.3869130914259289E-4</v>
      </c>
      <c r="R8" s="34">
        <f>J8*3/(1+(3-1.5)*J8)</f>
        <v>4.3533891777315317E-4</v>
      </c>
      <c r="S8" s="34"/>
      <c r="T8" s="35">
        <f t="shared" si="2"/>
        <v>49694.242290569775</v>
      </c>
      <c r="U8" s="35">
        <f t="shared" si="3"/>
        <v>49760.881988123139</v>
      </c>
    </row>
    <row r="9" spans="1:21" ht="15.4" x14ac:dyDescent="0.55000000000000004">
      <c r="A9" s="14">
        <v>20</v>
      </c>
      <c r="B9" s="16">
        <v>5</v>
      </c>
      <c r="C9" s="17">
        <v>5.8841273010761365E-4</v>
      </c>
      <c r="D9" s="17">
        <f t="shared" si="7"/>
        <v>2.9377421383581094E-3</v>
      </c>
      <c r="E9" s="20">
        <f t="shared" si="4"/>
        <v>9931.070215204365</v>
      </c>
      <c r="F9" s="20">
        <f t="shared" si="5"/>
        <v>49582.413767396327</v>
      </c>
      <c r="G9" s="20">
        <f>SUM(F9:$F$25)</f>
        <v>593845.71951074956</v>
      </c>
      <c r="H9" s="13">
        <f t="shared" si="0"/>
        <v>59.796749659626606</v>
      </c>
      <c r="I9" s="16">
        <v>5</v>
      </c>
      <c r="J9" s="17">
        <v>1.9134538845417591E-4</v>
      </c>
      <c r="K9" s="17">
        <f t="shared" si="8"/>
        <v>9.5626949787453537E-4</v>
      </c>
      <c r="L9" s="20">
        <f>L8*(1-K8)</f>
        <v>9948.5651368117306</v>
      </c>
      <c r="M9" s="20">
        <f t="shared" si="6"/>
        <v>49719.041910588778</v>
      </c>
      <c r="N9" s="20">
        <f>SUM(M9:$M$25)</f>
        <v>654880.32246207842</v>
      </c>
      <c r="O9" s="13">
        <f t="shared" si="1"/>
        <v>65.826610516815833</v>
      </c>
      <c r="P9" s="36" t="s">
        <v>44</v>
      </c>
      <c r="Q9" s="37">
        <f>E8*(1-Q8)</f>
        <v>9937.2898889847093</v>
      </c>
      <c r="R9" s="37">
        <f>L8*(1-R8)</f>
        <v>9951.4535166133501</v>
      </c>
      <c r="S9" s="37"/>
      <c r="T9" s="35">
        <f t="shared" si="2"/>
        <v>49582.413767395556</v>
      </c>
      <c r="U9" s="35">
        <f t="shared" si="3"/>
        <v>49719.041910587213</v>
      </c>
    </row>
    <row r="10" spans="1:21" ht="15.4" x14ac:dyDescent="0.55000000000000004">
      <c r="A10" s="14">
        <v>25</v>
      </c>
      <c r="B10" s="16">
        <v>5</v>
      </c>
      <c r="C10" s="17">
        <v>7.3620768318757401E-4</v>
      </c>
      <c r="D10" s="17">
        <f t="shared" si="7"/>
        <v>3.6742758406777269E-3</v>
      </c>
      <c r="E10" s="20">
        <f t="shared" si="4"/>
        <v>9901.8952917541665</v>
      </c>
      <c r="F10" s="20">
        <f t="shared" si="5"/>
        <v>49418.520722152301</v>
      </c>
      <c r="G10" s="20">
        <f>SUM(F10:$F$25)</f>
        <v>544263.30574335309</v>
      </c>
      <c r="H10" s="13">
        <f t="shared" si="0"/>
        <v>54.965568682249149</v>
      </c>
      <c r="I10" s="16">
        <v>5</v>
      </c>
      <c r="J10" s="17">
        <v>2.7150884872020604E-4</v>
      </c>
      <c r="K10" s="17">
        <f t="shared" si="8"/>
        <v>1.3566234054536263E-3</v>
      </c>
      <c r="L10" s="20">
        <f t="shared" ref="L10:L25" si="9">L9*(1-K9)</f>
        <v>9939.0516274237798</v>
      </c>
      <c r="M10" s="20">
        <f t="shared" si="6"/>
        <v>49661.54926195446</v>
      </c>
      <c r="N10" s="20">
        <f>SUM(M10:$M$25)</f>
        <v>605161.28055148968</v>
      </c>
      <c r="O10" s="13">
        <f t="shared" si="1"/>
        <v>60.887225787391202</v>
      </c>
      <c r="P10" s="36" t="s">
        <v>45</v>
      </c>
      <c r="Q10" s="34">
        <f>E17/Q9</f>
        <v>0.90053301749472781</v>
      </c>
      <c r="R10" s="34">
        <f>L17/R9</f>
        <v>0.95106298452863214</v>
      </c>
      <c r="S10" s="34"/>
      <c r="T10" s="35">
        <f t="shared" si="2"/>
        <v>49418.520722151108</v>
      </c>
      <c r="U10" s="35">
        <f t="shared" si="3"/>
        <v>49661.549261956068</v>
      </c>
    </row>
    <row r="11" spans="1:21" x14ac:dyDescent="0.4">
      <c r="A11" s="14">
        <v>30</v>
      </c>
      <c r="B11" s="16">
        <v>5</v>
      </c>
      <c r="C11" s="17">
        <v>8.9374635508790532E-4</v>
      </c>
      <c r="D11" s="17">
        <f t="shared" si="7"/>
        <v>4.458769253518252E-3</v>
      </c>
      <c r="E11" s="20">
        <f t="shared" si="4"/>
        <v>9865.5129971067545</v>
      </c>
      <c r="F11" s="20">
        <f t="shared" si="5"/>
        <v>49217.594870479559</v>
      </c>
      <c r="G11" s="20">
        <f>SUM(F11:$F$25)</f>
        <v>494844.78502120078</v>
      </c>
      <c r="H11" s="13">
        <f t="shared" si="0"/>
        <v>50.15905256688864</v>
      </c>
      <c r="I11" s="16">
        <v>5</v>
      </c>
      <c r="J11" s="17">
        <v>3.3563130533629279E-4</v>
      </c>
      <c r="K11" s="17">
        <f t="shared" si="8"/>
        <v>1.6767496025369101E-3</v>
      </c>
      <c r="L11" s="20">
        <f t="shared" si="9"/>
        <v>9925.5680773580043</v>
      </c>
      <c r="M11" s="20">
        <f t="shared" si="6"/>
        <v>49586.233655968361</v>
      </c>
      <c r="N11" s="20">
        <f>SUM(M11:$M$25)</f>
        <v>555499.73128953518</v>
      </c>
      <c r="O11" s="13">
        <f t="shared" si="1"/>
        <v>55.966542867881728</v>
      </c>
      <c r="T11" s="35">
        <f t="shared" si="2"/>
        <v>49217.594870479865</v>
      </c>
      <c r="U11" s="35">
        <f t="shared" si="3"/>
        <v>49586.233655969758</v>
      </c>
    </row>
    <row r="12" spans="1:21" x14ac:dyDescent="0.4">
      <c r="A12" s="14">
        <v>35</v>
      </c>
      <c r="B12" s="16">
        <v>5</v>
      </c>
      <c r="C12" s="17">
        <v>1.1793443193805753E-3</v>
      </c>
      <c r="D12" s="17">
        <f t="shared" si="7"/>
        <v>5.8793870426274699E-3</v>
      </c>
      <c r="E12" s="20">
        <f t="shared" si="4"/>
        <v>9821.5249510850699</v>
      </c>
      <c r="F12" s="20">
        <f t="shared" si="5"/>
        <v>48963.263389084714</v>
      </c>
      <c r="G12" s="20">
        <f>SUM(F12:$F$25)</f>
        <v>445627.19015072123</v>
      </c>
      <c r="H12" s="13">
        <f t="shared" si="0"/>
        <v>45.372505020362333</v>
      </c>
      <c r="I12" s="16">
        <v>5</v>
      </c>
      <c r="J12" s="17">
        <v>5.8342336391221418E-4</v>
      </c>
      <c r="K12" s="17">
        <f t="shared" si="8"/>
        <v>2.9128682311060083E-3</v>
      </c>
      <c r="L12" s="20">
        <f t="shared" si="9"/>
        <v>9908.9253850293408</v>
      </c>
      <c r="M12" s="20">
        <f t="shared" si="6"/>
        <v>49472.468440250581</v>
      </c>
      <c r="N12" s="20">
        <f>SUM(M12:$M$25)</f>
        <v>505913.49763356691</v>
      </c>
      <c r="O12" s="13">
        <f t="shared" si="1"/>
        <v>51.056343445467256</v>
      </c>
      <c r="T12" s="35">
        <f t="shared" si="2"/>
        <v>48963.263389085201</v>
      </c>
      <c r="U12" s="35">
        <f t="shared" si="3"/>
        <v>49472.468440251592</v>
      </c>
    </row>
    <row r="13" spans="1:21" x14ac:dyDescent="0.4">
      <c r="A13" s="14">
        <v>40</v>
      </c>
      <c r="B13" s="16">
        <v>5</v>
      </c>
      <c r="C13" s="17">
        <v>1.7559779587617004E-3</v>
      </c>
      <c r="D13" s="17">
        <f t="shared" si="7"/>
        <v>8.7415150245353321E-3</v>
      </c>
      <c r="E13" s="20">
        <f t="shared" si="4"/>
        <v>9763.7804045488174</v>
      </c>
      <c r="F13" s="20">
        <f t="shared" si="5"/>
        <v>48605.526439987516</v>
      </c>
      <c r="G13" s="20">
        <f>SUM(F13:$F$25)</f>
        <v>396663.92676163651</v>
      </c>
      <c r="H13" s="13">
        <f t="shared" si="0"/>
        <v>40.626059817653825</v>
      </c>
      <c r="I13" s="16">
        <v>5</v>
      </c>
      <c r="J13" s="17">
        <v>9.6466021686874258E-4</v>
      </c>
      <c r="K13" s="17">
        <f t="shared" si="8"/>
        <v>4.8116969527787776E-3</v>
      </c>
      <c r="L13" s="20">
        <f t="shared" si="9"/>
        <v>9880.0619910708883</v>
      </c>
      <c r="M13" s="20">
        <f t="shared" si="6"/>
        <v>49281.460294915189</v>
      </c>
      <c r="N13" s="20">
        <f>SUM(M13:$M$25)</f>
        <v>456441.02919331635</v>
      </c>
      <c r="O13" s="13">
        <f t="shared" si="1"/>
        <v>46.19819487021693</v>
      </c>
      <c r="Q13" s="32" t="s">
        <v>58</v>
      </c>
      <c r="T13" s="35">
        <f t="shared" si="2"/>
        <v>48605.526439987203</v>
      </c>
      <c r="U13" s="35">
        <f t="shared" si="3"/>
        <v>49281.460294915953</v>
      </c>
    </row>
    <row r="14" spans="1:21" ht="15.4" x14ac:dyDescent="0.55000000000000004">
      <c r="A14" s="14">
        <v>45</v>
      </c>
      <c r="B14" s="16">
        <v>5</v>
      </c>
      <c r="C14" s="17">
        <v>3.0344788541280675E-3</v>
      </c>
      <c r="D14" s="17">
        <f t="shared" si="7"/>
        <v>1.5058160099629337E-2</v>
      </c>
      <c r="E14" s="20">
        <f t="shared" si="4"/>
        <v>9678.4301714461908</v>
      </c>
      <c r="F14" s="20">
        <f t="shared" si="5"/>
        <v>48027.80247964416</v>
      </c>
      <c r="G14" s="20">
        <f>SUM(F14:$F$25)</f>
        <v>348058.40032164898</v>
      </c>
      <c r="H14" s="13">
        <f t="shared" si="0"/>
        <v>35.962278402184374</v>
      </c>
      <c r="I14" s="16">
        <v>5</v>
      </c>
      <c r="J14" s="17">
        <v>1.5942196738667801E-3</v>
      </c>
      <c r="K14" s="17">
        <f t="shared" si="8"/>
        <v>7.9394552798167269E-3</v>
      </c>
      <c r="L14" s="20">
        <f>L13*(1-K13)</f>
        <v>9832.5221268951864</v>
      </c>
      <c r="M14" s="20">
        <f t="shared" si="6"/>
        <v>48967.4484601902</v>
      </c>
      <c r="N14" s="20">
        <f>SUM(M14:$M$25)</f>
        <v>407159.56889840111</v>
      </c>
      <c r="O14" s="13">
        <f t="shared" si="1"/>
        <v>41.409473952230996</v>
      </c>
      <c r="P14" s="36" t="s">
        <v>43</v>
      </c>
      <c r="Q14" s="34">
        <f>1-EXP(-C8*3)</f>
        <v>9.3869124018364225E-4</v>
      </c>
      <c r="R14" s="34">
        <f>1-EXP(-J8*3)</f>
        <v>4.3533891089619914E-4</v>
      </c>
      <c r="T14" s="35">
        <f t="shared" si="2"/>
        <v>48027.802479643979</v>
      </c>
      <c r="U14" s="35">
        <f t="shared" si="3"/>
        <v>48967.448460190528</v>
      </c>
    </row>
    <row r="15" spans="1:21" ht="15.4" x14ac:dyDescent="0.55000000000000004">
      <c r="A15" s="14">
        <v>50</v>
      </c>
      <c r="B15" s="16">
        <v>5</v>
      </c>
      <c r="C15" s="17">
        <v>4.8578630944753707E-3</v>
      </c>
      <c r="D15" s="17">
        <f t="shared" si="7"/>
        <v>2.3997869560170883E-2</v>
      </c>
      <c r="E15" s="20">
        <f t="shared" si="4"/>
        <v>9532.6908204114716</v>
      </c>
      <c r="F15" s="20">
        <f t="shared" si="5"/>
        <v>47091.543424893171</v>
      </c>
      <c r="G15" s="20">
        <f>SUM(F15:$F$25)</f>
        <v>300030.59784200485</v>
      </c>
      <c r="H15" s="13">
        <f t="shared" si="0"/>
        <v>31.473862259287483</v>
      </c>
      <c r="I15" s="16">
        <v>5</v>
      </c>
      <c r="J15" s="17">
        <v>2.4661328470065255E-3</v>
      </c>
      <c r="K15" s="17">
        <f t="shared" si="8"/>
        <v>1.2255107427605596E-2</v>
      </c>
      <c r="L15" s="20">
        <f t="shared" si="9"/>
        <v>9754.4572571808931</v>
      </c>
      <c r="M15" s="20">
        <f t="shared" si="6"/>
        <v>48473.431481942614</v>
      </c>
      <c r="N15" s="20">
        <f>SUM(M15:$M$25)</f>
        <v>358192.1204382109</v>
      </c>
      <c r="O15" s="13">
        <f t="shared" si="1"/>
        <v>36.720866265985457</v>
      </c>
      <c r="P15" s="36" t="s">
        <v>44</v>
      </c>
      <c r="Q15" s="37">
        <f>E8*(1-Q14)</f>
        <v>9937.2898896706174</v>
      </c>
      <c r="R15" s="37">
        <f>L8*(1-R14)</f>
        <v>9951.453516681815</v>
      </c>
      <c r="T15" s="35">
        <f t="shared" si="2"/>
        <v>47091.543424893222</v>
      </c>
      <c r="U15" s="35">
        <f t="shared" si="3"/>
        <v>48473.431481942913</v>
      </c>
    </row>
    <row r="16" spans="1:21" ht="15.4" x14ac:dyDescent="0.55000000000000004">
      <c r="A16" s="14">
        <v>55</v>
      </c>
      <c r="B16" s="16">
        <v>5</v>
      </c>
      <c r="C16" s="17">
        <v>7.7811449744338125E-3</v>
      </c>
      <c r="D16" s="17">
        <f t="shared" si="7"/>
        <v>3.8163338694444333E-2</v>
      </c>
      <c r="E16" s="20">
        <f t="shared" si="4"/>
        <v>9303.9265495457985</v>
      </c>
      <c r="F16" s="20">
        <f t="shared" si="5"/>
        <v>45631.960497482614</v>
      </c>
      <c r="G16" s="20">
        <f>SUM(F16:$F$25)</f>
        <v>252939.05441711168</v>
      </c>
      <c r="H16" s="13">
        <f t="shared" si="0"/>
        <v>27.186269482045699</v>
      </c>
      <c r="I16" s="16">
        <v>5</v>
      </c>
      <c r="J16" s="17">
        <v>3.5698813995015148E-3</v>
      </c>
      <c r="K16" s="17">
        <f t="shared" si="8"/>
        <v>1.7691515467516374E-2</v>
      </c>
      <c r="L16" s="20">
        <f t="shared" si="9"/>
        <v>9634.9153355961535</v>
      </c>
      <c r="M16" s="20">
        <f t="shared" si="6"/>
        <v>47748.436043760994</v>
      </c>
      <c r="N16" s="20">
        <f>SUM(M16:$M$25)</f>
        <v>309718.68895626831</v>
      </c>
      <c r="O16" s="13">
        <f t="shared" si="1"/>
        <v>32.145449977335446</v>
      </c>
      <c r="P16" s="36" t="s">
        <v>45</v>
      </c>
      <c r="Q16" s="34">
        <f>E17/Q15</f>
        <v>0.90053301743256975</v>
      </c>
      <c r="R16" s="34">
        <f>L17/R15</f>
        <v>0.95106298452208893</v>
      </c>
      <c r="T16" s="35">
        <f t="shared" si="2"/>
        <v>45631.960497482658</v>
      </c>
      <c r="U16" s="35">
        <f t="shared" si="3"/>
        <v>47748.43604376079</v>
      </c>
    </row>
    <row r="17" spans="1:21" x14ac:dyDescent="0.4">
      <c r="A17" s="14">
        <v>60</v>
      </c>
      <c r="B17" s="16">
        <v>5</v>
      </c>
      <c r="C17" s="17">
        <v>1.1340167867151153E-2</v>
      </c>
      <c r="D17" s="17">
        <f t="shared" si="7"/>
        <v>5.513766343778826E-2</v>
      </c>
      <c r="E17" s="22">
        <f t="shared" si="4"/>
        <v>8948.8576494472491</v>
      </c>
      <c r="F17" s="23">
        <f t="shared" si="5"/>
        <v>43510.740494166494</v>
      </c>
      <c r="G17" s="20">
        <f>SUM(F17:$F$25)</f>
        <v>207307.09391962906</v>
      </c>
      <c r="H17" s="13">
        <f t="shared" si="0"/>
        <v>23.165760596542057</v>
      </c>
      <c r="I17" s="16">
        <v>5</v>
      </c>
      <c r="J17" s="17">
        <v>4.9529804777260706E-3</v>
      </c>
      <c r="K17" s="17">
        <f t="shared" si="8"/>
        <v>2.4462002832442434E-2</v>
      </c>
      <c r="L17" s="20">
        <f t="shared" si="9"/>
        <v>9464.4590819082441</v>
      </c>
      <c r="M17" s="23">
        <f t="shared" si="6"/>
        <v>46743.49634736828</v>
      </c>
      <c r="N17" s="20">
        <f>SUM(M17:$M$25)</f>
        <v>261970.25291250731</v>
      </c>
      <c r="O17" s="13">
        <f t="shared" si="1"/>
        <v>27.679368746310679</v>
      </c>
      <c r="Q17" s="38"/>
      <c r="T17" s="35">
        <f t="shared" si="2"/>
        <v>43510.74049416645</v>
      </c>
      <c r="U17" s="35">
        <f t="shared" si="3"/>
        <v>46743.496347368375</v>
      </c>
    </row>
    <row r="18" spans="1:21" x14ac:dyDescent="0.4">
      <c r="A18" s="14">
        <v>65</v>
      </c>
      <c r="B18" s="16">
        <v>5</v>
      </c>
      <c r="C18" s="17">
        <v>1.5118430603448535E-2</v>
      </c>
      <c r="D18" s="17">
        <f t="shared" si="7"/>
        <v>7.2839120062538315E-2</v>
      </c>
      <c r="E18" s="20">
        <f t="shared" si="4"/>
        <v>8455.4385482193502</v>
      </c>
      <c r="F18" s="20">
        <f t="shared" si="5"/>
        <v>40737.475982108837</v>
      </c>
      <c r="G18" s="20">
        <f>SUM(F18:$F$25)</f>
        <v>163796.35342546256</v>
      </c>
      <c r="H18" s="13">
        <f t="shared" si="0"/>
        <v>19.371715907030843</v>
      </c>
      <c r="I18" s="16">
        <v>5</v>
      </c>
      <c r="J18" s="17">
        <v>6.7853239851226052E-3</v>
      </c>
      <c r="K18" s="17">
        <f t="shared" si="8"/>
        <v>3.3360711830256518E-2</v>
      </c>
      <c r="L18" s="20">
        <f t="shared" si="9"/>
        <v>9232.9394570390687</v>
      </c>
      <c r="M18" s="20">
        <f t="shared" si="6"/>
        <v>45394.653703764125</v>
      </c>
      <c r="N18" s="20">
        <f>SUM(M18:$M$25)</f>
        <v>215226.75656513902</v>
      </c>
      <c r="O18" s="13">
        <f t="shared" si="1"/>
        <v>23.310751420670591</v>
      </c>
      <c r="T18" s="35">
        <f t="shared" si="2"/>
        <v>40737.475982108866</v>
      </c>
      <c r="U18" s="35">
        <f t="shared" si="3"/>
        <v>45394.653703764154</v>
      </c>
    </row>
    <row r="19" spans="1:21" x14ac:dyDescent="0.4">
      <c r="A19" s="14">
        <v>70</v>
      </c>
      <c r="B19" s="16">
        <v>5</v>
      </c>
      <c r="C19" s="17">
        <v>2.1683982080929094E-2</v>
      </c>
      <c r="D19" s="17">
        <f t="shared" si="7"/>
        <v>0.1028447036281664</v>
      </c>
      <c r="E19" s="20">
        <f t="shared" si="4"/>
        <v>7839.5518446241858</v>
      </c>
      <c r="F19" s="20">
        <f t="shared" si="5"/>
        <v>37182.118258025883</v>
      </c>
      <c r="G19" s="20">
        <f>SUM(F19:$F$25)</f>
        <v>123058.87744335373</v>
      </c>
      <c r="H19" s="13">
        <f t="shared" si="0"/>
        <v>15.697182681142529</v>
      </c>
      <c r="I19" s="16">
        <v>5</v>
      </c>
      <c r="J19" s="17">
        <v>1.0492054434988584E-2</v>
      </c>
      <c r="K19" s="17">
        <f t="shared" si="8"/>
        <v>5.111940327044872E-2</v>
      </c>
      <c r="L19" s="20">
        <f t="shared" si="9"/>
        <v>8924.922024466583</v>
      </c>
      <c r="M19" s="20">
        <f t="shared" si="6"/>
        <v>43484.018402017871</v>
      </c>
      <c r="N19" s="20">
        <f>SUM(M19:$M$25)</f>
        <v>169832.10286137491</v>
      </c>
      <c r="O19" s="13">
        <f t="shared" si="1"/>
        <v>19.028973294758313</v>
      </c>
      <c r="T19" s="35">
        <f t="shared" si="2"/>
        <v>37182.118258025876</v>
      </c>
      <c r="U19" s="35">
        <f t="shared" si="3"/>
        <v>43484.018402017871</v>
      </c>
    </row>
    <row r="20" spans="1:21" x14ac:dyDescent="0.4">
      <c r="A20" s="14">
        <v>75</v>
      </c>
      <c r="B20" s="16">
        <v>5</v>
      </c>
      <c r="C20" s="17">
        <v>3.4195252795331713E-2</v>
      </c>
      <c r="D20" s="17">
        <f t="shared" si="7"/>
        <v>0.15751094732235801</v>
      </c>
      <c r="E20" s="20">
        <f t="shared" si="4"/>
        <v>7033.2954585861662</v>
      </c>
      <c r="F20" s="20">
        <f t="shared" si="5"/>
        <v>32396.924716730966</v>
      </c>
      <c r="G20" s="20">
        <f>SUM(F20:$F$25)</f>
        <v>85876.759185327843</v>
      </c>
      <c r="H20" s="13">
        <f t="shared" si="0"/>
        <v>12.210031512395869</v>
      </c>
      <c r="I20" s="16">
        <v>5</v>
      </c>
      <c r="J20" s="17">
        <v>1.8284070503828617E-2</v>
      </c>
      <c r="K20" s="17">
        <f t="shared" si="8"/>
        <v>8.7424177936325509E-2</v>
      </c>
      <c r="L20" s="20">
        <f t="shared" si="9"/>
        <v>8468.6853363405662</v>
      </c>
      <c r="M20" s="20">
        <f t="shared" si="6"/>
        <v>40492.507047375359</v>
      </c>
      <c r="N20" s="20">
        <f>SUM(M20:$M$25)</f>
        <v>126348.08445935699</v>
      </c>
      <c r="O20" s="13">
        <f t="shared" si="1"/>
        <v>14.919444924606646</v>
      </c>
      <c r="T20" s="35">
        <f t="shared" si="2"/>
        <v>32396.924716730973</v>
      </c>
      <c r="U20" s="35">
        <f t="shared" si="3"/>
        <v>40492.507047375344</v>
      </c>
    </row>
    <row r="21" spans="1:21" x14ac:dyDescent="0.4">
      <c r="A21" s="14">
        <v>80</v>
      </c>
      <c r="B21" s="16">
        <v>5</v>
      </c>
      <c r="C21" s="17">
        <v>6.1195772291256015E-2</v>
      </c>
      <c r="D21" s="17">
        <f t="shared" si="7"/>
        <v>0.2653787218700237</v>
      </c>
      <c r="E21" s="20">
        <f t="shared" si="4"/>
        <v>5925.4744281062203</v>
      </c>
      <c r="F21" s="20">
        <f t="shared" si="5"/>
        <v>25696.135065020258</v>
      </c>
      <c r="G21" s="20">
        <f>SUM(F21:$F$25)</f>
        <v>53479.834468596862</v>
      </c>
      <c r="H21" s="13">
        <f t="shared" si="0"/>
        <v>9.0254097148621053</v>
      </c>
      <c r="I21" s="16">
        <v>5</v>
      </c>
      <c r="J21" s="17">
        <v>3.6186598728547896E-2</v>
      </c>
      <c r="K21" s="17">
        <f t="shared" si="8"/>
        <v>0.16592256082158044</v>
      </c>
      <c r="L21" s="20">
        <f t="shared" si="9"/>
        <v>7728.3174826095783</v>
      </c>
      <c r="M21" s="20">
        <f t="shared" si="6"/>
        <v>35435.831844155968</v>
      </c>
      <c r="N21" s="20">
        <f>SUM(M21:$M$25)</f>
        <v>85855.577411981649</v>
      </c>
      <c r="O21" s="13">
        <f t="shared" si="1"/>
        <v>11.109219775866567</v>
      </c>
      <c r="T21" s="35">
        <f t="shared" si="2"/>
        <v>25696.13506502024</v>
      </c>
      <c r="U21" s="35">
        <f t="shared" si="3"/>
        <v>35435.831844155953</v>
      </c>
    </row>
    <row r="22" spans="1:21" x14ac:dyDescent="0.4">
      <c r="A22" s="14">
        <v>85</v>
      </c>
      <c r="B22" s="16">
        <v>5</v>
      </c>
      <c r="C22" s="17">
        <v>0.11296955727281234</v>
      </c>
      <c r="D22" s="17">
        <f t="shared" si="7"/>
        <v>0.44045326148947977</v>
      </c>
      <c r="E22" s="20">
        <f t="shared" si="4"/>
        <v>4352.9795979018827</v>
      </c>
      <c r="F22" s="20">
        <f t="shared" si="5"/>
        <v>16971.687836776793</v>
      </c>
      <c r="G22" s="20">
        <f>SUM(F22:$F$25)</f>
        <v>27783.699403576615</v>
      </c>
      <c r="H22" s="13">
        <f t="shared" si="0"/>
        <v>6.3826854178154742</v>
      </c>
      <c r="I22" s="16">
        <v>5</v>
      </c>
      <c r="J22" s="17">
        <v>7.5254754441481456E-2</v>
      </c>
      <c r="K22" s="17">
        <f t="shared" si="8"/>
        <v>0.31669227393598914</v>
      </c>
      <c r="L22" s="20">
        <f t="shared" si="9"/>
        <v>6446.0152550528073</v>
      </c>
      <c r="M22" s="20">
        <f t="shared" si="6"/>
        <v>27126.568202892166</v>
      </c>
      <c r="N22" s="20">
        <f>SUM(M22:$M$25)</f>
        <v>50419.745567825688</v>
      </c>
      <c r="O22" s="13">
        <f t="shared" si="1"/>
        <v>7.8218470749512115</v>
      </c>
      <c r="T22" s="35">
        <f t="shared" si="2"/>
        <v>16971.687836776797</v>
      </c>
      <c r="U22" s="35">
        <f t="shared" si="3"/>
        <v>27126.568202892162</v>
      </c>
    </row>
    <row r="23" spans="1:21" x14ac:dyDescent="0.4">
      <c r="A23" s="14">
        <v>90</v>
      </c>
      <c r="B23" s="16">
        <v>5</v>
      </c>
      <c r="C23" s="17">
        <v>0.1970870158983741</v>
      </c>
      <c r="D23" s="17">
        <f t="shared" si="7"/>
        <v>0.66016178764777844</v>
      </c>
      <c r="E23" s="20">
        <f t="shared" si="4"/>
        <v>2435.6955368088338</v>
      </c>
      <c r="F23" s="20">
        <f t="shared" si="5"/>
        <v>8158.5948846805804</v>
      </c>
      <c r="G23" s="20">
        <f>SUM(F23:$F$25)</f>
        <v>10812.01156679982</v>
      </c>
      <c r="H23" s="13">
        <f t="shared" si="0"/>
        <v>4.4389831994212843</v>
      </c>
      <c r="I23" s="16">
        <v>5</v>
      </c>
      <c r="J23" s="17">
        <v>0.14810427397855169</v>
      </c>
      <c r="K23" s="17">
        <f t="shared" si="8"/>
        <v>0.54042371501137854</v>
      </c>
      <c r="L23" s="20">
        <f t="shared" si="9"/>
        <v>4404.6120261040587</v>
      </c>
      <c r="M23" s="20">
        <f t="shared" si="6"/>
        <v>16072.168144692918</v>
      </c>
      <c r="N23" s="20">
        <f>SUM(M23:$M$25)</f>
        <v>23293.177364933515</v>
      </c>
      <c r="O23" s="13">
        <f t="shared" si="1"/>
        <v>5.2883607516134985</v>
      </c>
      <c r="T23" s="35">
        <f t="shared" si="2"/>
        <v>8158.5948846805795</v>
      </c>
      <c r="U23" s="35">
        <f t="shared" si="3"/>
        <v>16072.168144692916</v>
      </c>
    </row>
    <row r="24" spans="1:21" x14ac:dyDescent="0.4">
      <c r="A24" s="14">
        <v>95</v>
      </c>
      <c r="B24" s="16">
        <v>5</v>
      </c>
      <c r="C24" s="17">
        <v>0.30038889633901034</v>
      </c>
      <c r="D24" s="17">
        <f t="shared" si="7"/>
        <v>0.85777743738990586</v>
      </c>
      <c r="E24" s="20">
        <f t="shared" si="4"/>
        <v>827.74241706339876</v>
      </c>
      <c r="F24" s="20">
        <f t="shared" si="5"/>
        <v>2363.6651619980717</v>
      </c>
      <c r="G24" s="20">
        <f>SUM(F24:$F$25)</f>
        <v>2653.4166821192393</v>
      </c>
      <c r="H24" s="13">
        <f t="shared" si="0"/>
        <v>3.205606753285434</v>
      </c>
      <c r="I24" s="16">
        <v>5</v>
      </c>
      <c r="J24" s="17">
        <v>0.25818895786955742</v>
      </c>
      <c r="K24" s="17">
        <f t="shared" si="8"/>
        <v>0.78454357151560228</v>
      </c>
      <c r="L24" s="20">
        <f t="shared" si="9"/>
        <v>2024.2552317731083</v>
      </c>
      <c r="M24" s="20">
        <f t="shared" si="6"/>
        <v>6150.9850858794971</v>
      </c>
      <c r="N24" s="20">
        <f>SUM(M24:$M$25)</f>
        <v>7221.0092202405995</v>
      </c>
      <c r="O24" s="13">
        <f t="shared" si="1"/>
        <v>3.5672424637457856</v>
      </c>
      <c r="T24" s="35">
        <f t="shared" si="2"/>
        <v>2363.6651619980717</v>
      </c>
      <c r="U24" s="35">
        <f t="shared" si="3"/>
        <v>6150.9850858794971</v>
      </c>
    </row>
    <row r="25" spans="1:21" x14ac:dyDescent="0.4">
      <c r="A25" s="14" t="s">
        <v>47</v>
      </c>
      <c r="B25" s="16"/>
      <c r="C25" s="17">
        <v>0.40629173467873569</v>
      </c>
      <c r="D25" s="17">
        <v>1</v>
      </c>
      <c r="E25" s="20">
        <f t="shared" si="4"/>
        <v>117.72364773582989</v>
      </c>
      <c r="F25" s="20">
        <f>E25*H25</f>
        <v>289.75152012116791</v>
      </c>
      <c r="G25" s="20">
        <f>SUM(F25:$F$25)</f>
        <v>289.75152012116791</v>
      </c>
      <c r="H25" s="13">
        <f>1/C25</f>
        <v>2.4612856099342588</v>
      </c>
      <c r="I25" s="16"/>
      <c r="J25" s="17">
        <v>0.40759716400144907</v>
      </c>
      <c r="K25" s="17">
        <v>1</v>
      </c>
      <c r="L25" s="20">
        <f t="shared" si="9"/>
        <v>436.13880257869067</v>
      </c>
      <c r="M25" s="20">
        <f>L25/J25</f>
        <v>1070.0241343611019</v>
      </c>
      <c r="N25" s="20">
        <f>SUM(M25:$M$25)</f>
        <v>1070.0241343611019</v>
      </c>
      <c r="O25" s="13">
        <f t="shared" si="1"/>
        <v>2.4534027425088873</v>
      </c>
      <c r="T25" s="35">
        <f t="shared" si="2"/>
        <v>289.75152012116786</v>
      </c>
      <c r="U25" s="35">
        <f t="shared" si="3"/>
        <v>1070.0241343611019</v>
      </c>
    </row>
    <row r="27" spans="1:21" ht="16.149999999999999" x14ac:dyDescent="0.55000000000000004">
      <c r="E27" s="25" t="s">
        <v>48</v>
      </c>
      <c r="F27" s="26">
        <f>SUM(F8:F17)/E8</f>
        <v>48.231789811359583</v>
      </c>
      <c r="L27" s="25" t="s">
        <v>48</v>
      </c>
      <c r="M27" s="26">
        <f>SUM(M8:M17)/L8</f>
        <v>49.15878729798488</v>
      </c>
    </row>
    <row r="29" spans="1:21" ht="16.149999999999999" x14ac:dyDescent="0.55000000000000004">
      <c r="B29" s="10" t="s">
        <v>49</v>
      </c>
    </row>
    <row r="30" spans="1:21" x14ac:dyDescent="0.4">
      <c r="B30" s="10" t="s">
        <v>31</v>
      </c>
      <c r="I30" s="10" t="s">
        <v>33</v>
      </c>
    </row>
    <row r="31" spans="1:21" ht="15.4" x14ac:dyDescent="0.55000000000000004">
      <c r="A31" s="14" t="s">
        <v>34</v>
      </c>
      <c r="B31" s="14" t="s">
        <v>35</v>
      </c>
      <c r="C31" s="15" t="s">
        <v>36</v>
      </c>
      <c r="D31" s="15" t="s">
        <v>37</v>
      </c>
      <c r="E31" s="14" t="s">
        <v>38</v>
      </c>
      <c r="F31" s="15" t="s">
        <v>39</v>
      </c>
      <c r="G31" s="14" t="s">
        <v>40</v>
      </c>
      <c r="H31" s="14" t="s">
        <v>41</v>
      </c>
      <c r="I31" s="14" t="s">
        <v>35</v>
      </c>
      <c r="J31" s="15" t="s">
        <v>36</v>
      </c>
      <c r="K31" s="15" t="s">
        <v>37</v>
      </c>
      <c r="L31" s="14" t="s">
        <v>38</v>
      </c>
      <c r="M31" s="15" t="s">
        <v>39</v>
      </c>
      <c r="N31" s="14" t="s">
        <v>40</v>
      </c>
      <c r="O31" s="14" t="s">
        <v>41</v>
      </c>
    </row>
    <row r="32" spans="1:21" x14ac:dyDescent="0.4">
      <c r="A32" s="14">
        <v>0</v>
      </c>
      <c r="B32" s="16">
        <v>1</v>
      </c>
      <c r="C32" s="17">
        <f>C4</f>
        <v>3.7533581653709882E-3</v>
      </c>
      <c r="D32" s="18">
        <f>1-EXP(-B32*C32)</f>
        <v>3.7463231210448367E-3</v>
      </c>
      <c r="E32" s="19">
        <v>10000</v>
      </c>
      <c r="F32" s="20">
        <f>(E33-E32)/(LN(E33)-LN(E32))*B32</f>
        <v>9981.2566666492894</v>
      </c>
      <c r="G32" s="20">
        <f>SUM(F32:F53)</f>
        <v>792262.74230926577</v>
      </c>
      <c r="H32" s="21">
        <f>G32/E32</f>
        <v>79.226274230926578</v>
      </c>
      <c r="I32" s="16">
        <v>1</v>
      </c>
      <c r="J32" s="17">
        <f>J4</f>
        <v>3.1320050405706122E-3</v>
      </c>
      <c r="K32" s="17">
        <f>1-EXP(-I32*J32)</f>
        <v>3.127105429320709E-3</v>
      </c>
      <c r="L32" s="19">
        <v>10000</v>
      </c>
      <c r="M32" s="20">
        <f>(L33-L32)/(LN(L33)-LN(L32))*I32</f>
        <v>9984.3563110939085</v>
      </c>
      <c r="N32" s="20">
        <f>SUM(M32:$M$53)</f>
        <v>853395.73528976378</v>
      </c>
      <c r="O32" s="13">
        <f>N32/L32</f>
        <v>85.339573528976373</v>
      </c>
    </row>
    <row r="33" spans="1:19" x14ac:dyDescent="0.4">
      <c r="A33" s="14">
        <v>1</v>
      </c>
      <c r="B33" s="16">
        <v>4</v>
      </c>
      <c r="C33" s="17">
        <f t="shared" ref="C33:C53" si="10">C5</f>
        <v>1.7074436984616624E-4</v>
      </c>
      <c r="D33" s="17">
        <f t="shared" ref="D33:D52" si="11">1-EXP(-B33*C33)</f>
        <v>6.8274430335368841E-4</v>
      </c>
      <c r="E33" s="20">
        <f>E32*EXP(-B32*C32)</f>
        <v>9962.5367687895523</v>
      </c>
      <c r="F33" s="20">
        <f>(E34-E33)/(LN(E34)-LN(E33))*B33</f>
        <v>39836.541796245925</v>
      </c>
      <c r="G33" s="20">
        <f>G32-F32</f>
        <v>782281.48564261652</v>
      </c>
      <c r="H33" s="13">
        <f t="shared" ref="H33:H52" si="12">G33/E33</f>
        <v>78.522318541732588</v>
      </c>
      <c r="I33" s="16">
        <v>4</v>
      </c>
      <c r="J33" s="17">
        <f t="shared" ref="J33:J53" si="13">J5</f>
        <v>1.453608897936503E-4</v>
      </c>
      <c r="K33" s="17">
        <f t="shared" ref="K33:K52" si="14">1-EXP(-I33*J33)</f>
        <v>5.8127455362566582E-4</v>
      </c>
      <c r="L33" s="20">
        <f>L32*EXP(-I32*J32)</f>
        <v>9968.7289457067927</v>
      </c>
      <c r="M33" s="20">
        <f>(L34-L33)/(LN(L34)-LN(L33))*I33</f>
        <v>39863.325522753119</v>
      </c>
      <c r="N33" s="20">
        <f>SUM(M33:$M$53)</f>
        <v>843411.37897866988</v>
      </c>
      <c r="O33" s="13">
        <f t="shared" ref="O33:O52" si="15">N33/L33</f>
        <v>84.605708869424092</v>
      </c>
    </row>
    <row r="34" spans="1:19" x14ac:dyDescent="0.4">
      <c r="A34" s="14">
        <v>5</v>
      </c>
      <c r="B34" s="16">
        <v>5</v>
      </c>
      <c r="C34" s="17">
        <f t="shared" si="10"/>
        <v>8.9915619350332626E-5</v>
      </c>
      <c r="D34" s="17">
        <f t="shared" si="11"/>
        <v>4.4947705166220597E-4</v>
      </c>
      <c r="E34" s="20">
        <f t="shared" ref="E34:E53" si="16">E33*EXP(-B33*C33)</f>
        <v>9955.7349035637089</v>
      </c>
      <c r="F34" s="20">
        <f t="shared" ref="F34:F51" si="17">(E35-E34)/(LN(E35)-LN(E34))*B34</f>
        <v>49767.486493554708</v>
      </c>
      <c r="G34" s="20">
        <f t="shared" ref="G34:G52" si="18">G33-F33</f>
        <v>742444.94384637056</v>
      </c>
      <c r="H34" s="13">
        <f t="shared" si="12"/>
        <v>74.574599568798121</v>
      </c>
      <c r="I34" s="16">
        <v>5</v>
      </c>
      <c r="J34" s="17">
        <f t="shared" si="13"/>
        <v>7.2141762686064558E-5</v>
      </c>
      <c r="K34" s="17">
        <f t="shared" si="14"/>
        <v>3.6064376582756186E-4</v>
      </c>
      <c r="L34" s="20">
        <f t="shared" ref="L34:L53" si="19">L33*EXP(-I33*J33)</f>
        <v>9962.9343772386619</v>
      </c>
      <c r="M34" s="20">
        <f t="shared" ref="M34:M52" si="20">(L35-L34)/(LN(L35)-LN(L34))*I34</f>
        <v>49805.688670809817</v>
      </c>
      <c r="N34" s="20">
        <f>SUM(M34:$M$53)</f>
        <v>803548.0534559167</v>
      </c>
      <c r="O34" s="13">
        <f t="shared" si="15"/>
        <v>80.653753505764726</v>
      </c>
      <c r="Q34" s="32" t="s">
        <v>42</v>
      </c>
    </row>
    <row r="35" spans="1:19" x14ac:dyDescent="0.4">
      <c r="A35" s="14">
        <v>10</v>
      </c>
      <c r="B35" s="16">
        <v>5</v>
      </c>
      <c r="C35" s="17">
        <f t="shared" si="10"/>
        <v>9.4401128093480721E-5</v>
      </c>
      <c r="D35" s="17">
        <f t="shared" si="11"/>
        <v>4.7189426332927553E-4</v>
      </c>
      <c r="E35" s="20">
        <f t="shared" si="16"/>
        <v>9951.2600291921244</v>
      </c>
      <c r="F35" s="20">
        <f t="shared" si="17"/>
        <v>49744.559366238318</v>
      </c>
      <c r="G35" s="20">
        <f t="shared" si="18"/>
        <v>692677.45735281589</v>
      </c>
      <c r="H35" s="13">
        <f t="shared" si="12"/>
        <v>69.607010099307971</v>
      </c>
      <c r="I35" s="16">
        <v>5</v>
      </c>
      <c r="J35" s="17">
        <f t="shared" si="13"/>
        <v>7.2242087362872257E-5</v>
      </c>
      <c r="K35" s="17">
        <f t="shared" si="14"/>
        <v>3.6114520817853712E-4</v>
      </c>
      <c r="L35" s="20">
        <f t="shared" si="19"/>
        <v>9959.3413070661609</v>
      </c>
      <c r="M35" s="20">
        <f t="shared" si="20"/>
        <v>49787.714073014198</v>
      </c>
      <c r="N35" s="20">
        <f>SUM(M35:$M$53)</f>
        <v>753742.36478510685</v>
      </c>
      <c r="O35" s="13">
        <f t="shared" si="15"/>
        <v>75.681949392609525</v>
      </c>
    </row>
    <row r="36" spans="1:19" ht="15.4" x14ac:dyDescent="0.55000000000000004">
      <c r="A36" s="14">
        <v>15</v>
      </c>
      <c r="B36" s="16">
        <v>5</v>
      </c>
      <c r="C36" s="17">
        <f t="shared" si="10"/>
        <v>3.1304402890218572E-4</v>
      </c>
      <c r="D36" s="17">
        <f t="shared" si="11"/>
        <v>1.5639958263197196E-3</v>
      </c>
      <c r="E36" s="23">
        <f t="shared" si="16"/>
        <v>9946.5640866714512</v>
      </c>
      <c r="F36" s="23">
        <f t="shared" si="17"/>
        <v>49693.919326053649</v>
      </c>
      <c r="G36" s="20">
        <f t="shared" si="18"/>
        <v>642932.89798657759</v>
      </c>
      <c r="H36" s="13">
        <f t="shared" si="12"/>
        <v>64.638692555966898</v>
      </c>
      <c r="I36" s="16">
        <v>5</v>
      </c>
      <c r="J36" s="17">
        <f t="shared" si="13"/>
        <v>1.4514456613022093E-4</v>
      </c>
      <c r="K36" s="17">
        <f t="shared" si="14"/>
        <v>7.2545955752922886E-4</v>
      </c>
      <c r="L36" s="23">
        <f t="shared" si="19"/>
        <v>9955.7445386764994</v>
      </c>
      <c r="M36" s="23">
        <f t="shared" si="20"/>
        <v>49760.664284436512</v>
      </c>
      <c r="N36" s="20">
        <f>SUM(M36:$M$53)</f>
        <v>703954.65071209264</v>
      </c>
      <c r="O36" s="13">
        <f t="shared" si="15"/>
        <v>70.708388305599811</v>
      </c>
      <c r="P36" s="36" t="s">
        <v>43</v>
      </c>
      <c r="Q36" s="34">
        <f>C36*3/(1+(3-1.5)*C36)</f>
        <v>9.3869130914259289E-4</v>
      </c>
      <c r="R36" s="34">
        <f>J36*3/(1+(3-1.5)*J36)</f>
        <v>4.3533891777315317E-4</v>
      </c>
      <c r="S36" s="34"/>
    </row>
    <row r="37" spans="1:19" ht="15.4" x14ac:dyDescent="0.55000000000000004">
      <c r="A37" s="14">
        <v>20</v>
      </c>
      <c r="B37" s="16">
        <v>5</v>
      </c>
      <c r="C37" s="17">
        <f t="shared" si="10"/>
        <v>5.8841273010761365E-4</v>
      </c>
      <c r="D37" s="17">
        <f t="shared" si="11"/>
        <v>2.9377400224451788E-3</v>
      </c>
      <c r="E37" s="20">
        <f t="shared" si="16"/>
        <v>9931.0077019536748</v>
      </c>
      <c r="F37" s="20">
        <f t="shared" si="17"/>
        <v>49582.065948683288</v>
      </c>
      <c r="G37" s="20">
        <f t="shared" si="18"/>
        <v>593238.97866052389</v>
      </c>
      <c r="H37" s="13">
        <f>G37/F59</f>
        <v>59.698642157978625</v>
      </c>
      <c r="I37" s="16">
        <v>5</v>
      </c>
      <c r="J37" s="17">
        <f t="shared" si="13"/>
        <v>1.9134538845417591E-4</v>
      </c>
      <c r="K37" s="17">
        <f t="shared" si="14"/>
        <v>9.5626942496784828E-4</v>
      </c>
      <c r="L37" s="20">
        <f t="shared" si="19"/>
        <v>9948.5220486485978</v>
      </c>
      <c r="M37" s="20">
        <f t="shared" si="20"/>
        <v>49718.82278211668</v>
      </c>
      <c r="N37" s="20">
        <f>SUM(M37:$M$53)</f>
        <v>654193.98642765614</v>
      </c>
      <c r="O37" s="13">
        <f t="shared" si="15"/>
        <v>65.757906875878263</v>
      </c>
      <c r="P37" s="36" t="s">
        <v>44</v>
      </c>
      <c r="Q37" s="37">
        <f>E36*(1-Q36)</f>
        <v>9937.2273334074634</v>
      </c>
      <c r="R37" s="37">
        <f>L36*(1-R36)</f>
        <v>9951.4104156234062</v>
      </c>
      <c r="S37" s="37"/>
    </row>
    <row r="38" spans="1:19" ht="15.4" x14ac:dyDescent="0.55000000000000004">
      <c r="A38" s="14">
        <v>25</v>
      </c>
      <c r="B38" s="16">
        <v>5</v>
      </c>
      <c r="C38" s="17">
        <f t="shared" si="10"/>
        <v>7.3620768318757401E-4</v>
      </c>
      <c r="D38" s="17">
        <f t="shared" si="11"/>
        <v>3.674271699422138E-3</v>
      </c>
      <c r="E38" s="20">
        <f t="shared" si="16"/>
        <v>9901.8329831644332</v>
      </c>
      <c r="F38" s="20">
        <f t="shared" si="17"/>
        <v>49418.154052571161</v>
      </c>
      <c r="G38" s="20">
        <f t="shared" si="18"/>
        <v>543656.91271184059</v>
      </c>
      <c r="H38" s="13">
        <f t="shared" si="12"/>
        <v>54.904674077637132</v>
      </c>
      <c r="I38" s="16">
        <v>5</v>
      </c>
      <c r="J38" s="17">
        <f t="shared" si="13"/>
        <v>2.7150884872020604E-4</v>
      </c>
      <c r="K38" s="17">
        <f t="shared" si="14"/>
        <v>1.3566231972486076E-3</v>
      </c>
      <c r="L38" s="20">
        <f t="shared" si="19"/>
        <v>9939.0085811898571</v>
      </c>
      <c r="M38" s="20">
        <f t="shared" si="20"/>
        <v>49661.326555143605</v>
      </c>
      <c r="N38" s="20">
        <f>SUM(M38:$M$53)</f>
        <v>604475.16364553955</v>
      </c>
      <c r="O38" s="13">
        <f t="shared" si="15"/>
        <v>60.818456761325614</v>
      </c>
      <c r="P38" s="36" t="s">
        <v>45</v>
      </c>
      <c r="Q38" s="34">
        <f>E45/Q37</f>
        <v>0.9005388542880518</v>
      </c>
      <c r="R38" s="34">
        <f>L45/R37</f>
        <v>0.95106363552944462</v>
      </c>
      <c r="S38" s="34"/>
    </row>
    <row r="39" spans="1:19" x14ac:dyDescent="0.4">
      <c r="A39" s="14">
        <v>30</v>
      </c>
      <c r="B39" s="16">
        <v>5</v>
      </c>
      <c r="C39" s="17">
        <f t="shared" si="10"/>
        <v>8.9374635508790532E-4</v>
      </c>
      <c r="D39" s="17">
        <f t="shared" si="11"/>
        <v>4.4587618501019666E-3</v>
      </c>
      <c r="E39" s="20">
        <f t="shared" si="16"/>
        <v>9865.4509584619882</v>
      </c>
      <c r="F39" s="20">
        <f t="shared" si="17"/>
        <v>49217.203647577851</v>
      </c>
      <c r="G39" s="20">
        <f t="shared" si="18"/>
        <v>494238.75865926943</v>
      </c>
      <c r="H39" s="13">
        <f t="shared" si="12"/>
        <v>50.097938831203784</v>
      </c>
      <c r="I39" s="16">
        <v>5</v>
      </c>
      <c r="J39" s="17">
        <f t="shared" si="13"/>
        <v>3.3563130533629279E-4</v>
      </c>
      <c r="K39" s="17">
        <f t="shared" si="14"/>
        <v>1.6767492093604508E-3</v>
      </c>
      <c r="L39" s="20">
        <f t="shared" si="19"/>
        <v>9925.5250915909619</v>
      </c>
      <c r="M39" s="20">
        <f t="shared" si="20"/>
        <v>49586.007280033875</v>
      </c>
      <c r="N39" s="20">
        <f>SUM(M39:$M$53)</f>
        <v>554813.83709039586</v>
      </c>
      <c r="O39" s="13">
        <f t="shared" si="15"/>
        <v>55.897681177637807</v>
      </c>
    </row>
    <row r="40" spans="1:19" x14ac:dyDescent="0.4">
      <c r="A40" s="14">
        <v>35</v>
      </c>
      <c r="B40" s="16">
        <v>5</v>
      </c>
      <c r="C40" s="17">
        <f t="shared" si="10"/>
        <v>1.1793443193805753E-3</v>
      </c>
      <c r="D40" s="17">
        <f t="shared" si="11"/>
        <v>5.8793700565941132E-3</v>
      </c>
      <c r="E40" s="20">
        <f t="shared" si="16"/>
        <v>9821.4632620943466</v>
      </c>
      <c r="F40" s="20">
        <f t="shared" si="17"/>
        <v>48962.814392851833</v>
      </c>
      <c r="G40" s="20">
        <f t="shared" si="18"/>
        <v>445021.55501169158</v>
      </c>
      <c r="H40" s="13">
        <f t="shared" si="12"/>
        <v>45.311125555928044</v>
      </c>
      <c r="I40" s="16">
        <v>5</v>
      </c>
      <c r="J40" s="17">
        <f t="shared" si="13"/>
        <v>5.8342336391221418E-4</v>
      </c>
      <c r="K40" s="17">
        <f t="shared" si="14"/>
        <v>2.9128661685113855E-3</v>
      </c>
      <c r="L40" s="20">
        <f t="shared" si="19"/>
        <v>9908.8824752411492</v>
      </c>
      <c r="M40" s="20">
        <f t="shared" si="20"/>
        <v>49472.219172591751</v>
      </c>
      <c r="N40" s="20">
        <f>SUM(M40:$M$53)</f>
        <v>505227.82981036196</v>
      </c>
      <c r="O40" s="13">
        <f t="shared" si="15"/>
        <v>50.987367250822743</v>
      </c>
    </row>
    <row r="41" spans="1:19" x14ac:dyDescent="0.4">
      <c r="A41" s="14">
        <v>40</v>
      </c>
      <c r="B41" s="16">
        <v>5</v>
      </c>
      <c r="C41" s="17">
        <f t="shared" si="10"/>
        <v>1.7559779587617004E-3</v>
      </c>
      <c r="D41" s="17">
        <f t="shared" si="11"/>
        <v>8.7414591160277499E-3</v>
      </c>
      <c r="E41" s="20">
        <f t="shared" si="16"/>
        <v>9763.71924507925</v>
      </c>
      <c r="F41" s="20">
        <f t="shared" si="17"/>
        <v>48604.911112560985</v>
      </c>
      <c r="G41" s="20">
        <f t="shared" si="18"/>
        <v>396058.74061883974</v>
      </c>
      <c r="H41" s="13">
        <f t="shared" si="12"/>
        <v>40.564331140353779</v>
      </c>
      <c r="I41" s="16">
        <v>5</v>
      </c>
      <c r="J41" s="17">
        <f t="shared" si="13"/>
        <v>9.6466021686874258E-4</v>
      </c>
      <c r="K41" s="17">
        <f t="shared" si="14"/>
        <v>4.8116876468730085E-3</v>
      </c>
      <c r="L41" s="20">
        <f t="shared" si="19"/>
        <v>9880.0192267112634</v>
      </c>
      <c r="M41" s="20">
        <f t="shared" si="20"/>
        <v>49281.151676754169</v>
      </c>
      <c r="N41" s="20">
        <f>SUM(M41:$M$53)</f>
        <v>455755.61063777015</v>
      </c>
      <c r="O41" s="13">
        <f t="shared" si="15"/>
        <v>46.129020620284393</v>
      </c>
      <c r="Q41" s="32" t="s">
        <v>46</v>
      </c>
    </row>
    <row r="42" spans="1:19" ht="15.4" x14ac:dyDescent="0.55000000000000004">
      <c r="A42" s="14">
        <v>45</v>
      </c>
      <c r="B42" s="16">
        <v>5</v>
      </c>
      <c r="C42" s="17">
        <f t="shared" si="10"/>
        <v>3.0344788541280675E-3</v>
      </c>
      <c r="D42" s="17">
        <f t="shared" si="11"/>
        <v>1.505787341344822E-2</v>
      </c>
      <c r="E42" s="20">
        <f t="shared" si="16"/>
        <v>9678.3700924780169</v>
      </c>
      <c r="F42" s="20">
        <f t="shared" si="17"/>
        <v>48026.589970397392</v>
      </c>
      <c r="G42" s="20">
        <f t="shared" si="18"/>
        <v>347453.82950627874</v>
      </c>
      <c r="H42" s="13">
        <f t="shared" si="12"/>
        <v>35.900035459102583</v>
      </c>
      <c r="I42" s="16">
        <v>5</v>
      </c>
      <c r="J42" s="17">
        <f t="shared" si="13"/>
        <v>1.5942196738667801E-3</v>
      </c>
      <c r="K42" s="17">
        <f t="shared" si="14"/>
        <v>7.9394134085994938E-3</v>
      </c>
      <c r="L42" s="20">
        <f t="shared" si="19"/>
        <v>9832.4796602472288</v>
      </c>
      <c r="M42" s="20">
        <f t="shared" si="20"/>
        <v>48966.978725716333</v>
      </c>
      <c r="N42" s="20">
        <f>SUM(M42:$M$53)</f>
        <v>406474.45896101603</v>
      </c>
      <c r="O42" s="13">
        <f t="shared" si="15"/>
        <v>41.339974554373562</v>
      </c>
      <c r="P42" s="36" t="s">
        <v>43</v>
      </c>
      <c r="Q42" s="34">
        <f>1-EXP(-C36*3)</f>
        <v>9.3869124018364225E-4</v>
      </c>
      <c r="R42" s="34">
        <f>1-EXP(-J36*3)</f>
        <v>4.3533891089619914E-4</v>
      </c>
    </row>
    <row r="43" spans="1:19" ht="15.4" x14ac:dyDescent="0.55000000000000004">
      <c r="A43" s="14">
        <v>50</v>
      </c>
      <c r="B43" s="16">
        <v>5</v>
      </c>
      <c r="C43" s="17">
        <f t="shared" si="10"/>
        <v>4.8578630944753707E-3</v>
      </c>
      <c r="D43" s="17">
        <f t="shared" si="11"/>
        <v>2.3996703948086728E-2</v>
      </c>
      <c r="E43" s="20">
        <f t="shared" si="16"/>
        <v>9532.6344207769798</v>
      </c>
      <c r="F43" s="20">
        <f t="shared" si="17"/>
        <v>47088.977517884297</v>
      </c>
      <c r="G43" s="20">
        <f t="shared" si="18"/>
        <v>299427.23953588132</v>
      </c>
      <c r="H43" s="13">
        <f t="shared" si="12"/>
        <v>31.410754500692978</v>
      </c>
      <c r="I43" s="16">
        <v>5</v>
      </c>
      <c r="J43" s="17">
        <f t="shared" si="13"/>
        <v>2.4661328470065255E-3</v>
      </c>
      <c r="K43" s="17">
        <f t="shared" si="14"/>
        <v>1.2254953103808086E-2</v>
      </c>
      <c r="L43" s="20">
        <f t="shared" si="19"/>
        <v>9754.4155393928795</v>
      </c>
      <c r="M43" s="20">
        <f t="shared" si="20"/>
        <v>48472.613766695213</v>
      </c>
      <c r="N43" s="20">
        <f>SUM(M43:$M$53)</f>
        <v>357507.48023529956</v>
      </c>
      <c r="O43" s="13">
        <f t="shared" si="15"/>
        <v>36.650835592508606</v>
      </c>
      <c r="P43" s="36" t="s">
        <v>44</v>
      </c>
      <c r="Q43" s="37">
        <f>E36*(1-Q42)</f>
        <v>9937.227334093368</v>
      </c>
      <c r="R43" s="37">
        <f>L36*(1-R42)</f>
        <v>9951.4104156918711</v>
      </c>
    </row>
    <row r="44" spans="1:19" ht="15.4" x14ac:dyDescent="0.55000000000000004">
      <c r="A44" s="14">
        <v>55</v>
      </c>
      <c r="B44" s="16">
        <v>5</v>
      </c>
      <c r="C44" s="17">
        <f t="shared" si="10"/>
        <v>7.7811449744338125E-3</v>
      </c>
      <c r="D44" s="17">
        <f t="shared" si="11"/>
        <v>3.8158617408528883E-2</v>
      </c>
      <c r="E44" s="20">
        <f t="shared" si="16"/>
        <v>9303.8826147362543</v>
      </c>
      <c r="F44" s="20">
        <f t="shared" si="17"/>
        <v>45626.099793291272</v>
      </c>
      <c r="G44" s="20">
        <f t="shared" si="18"/>
        <v>252338.26201799704</v>
      </c>
      <c r="H44" s="13">
        <f t="shared" si="12"/>
        <v>27.121823486715424</v>
      </c>
      <c r="I44" s="16">
        <v>5</v>
      </c>
      <c r="J44" s="17">
        <f t="shared" si="13"/>
        <v>3.5698813995015148E-3</v>
      </c>
      <c r="K44" s="17">
        <f t="shared" si="14"/>
        <v>1.7691049925498414E-2</v>
      </c>
      <c r="L44" s="20">
        <f t="shared" si="19"/>
        <v>9634.8756344025624</v>
      </c>
      <c r="M44" s="20">
        <f t="shared" si="20"/>
        <v>47746.982826371692</v>
      </c>
      <c r="N44" s="20">
        <f>SUM(M44:$M$53)</f>
        <v>309034.86646860442</v>
      </c>
      <c r="O44" s="13">
        <f t="shared" si="15"/>
        <v>32.074608764554853</v>
      </c>
      <c r="P44" s="36" t="s">
        <v>45</v>
      </c>
      <c r="Q44" s="34">
        <f>E45/Q43</f>
        <v>0.9005388542258933</v>
      </c>
      <c r="R44" s="34">
        <f>L45/R43</f>
        <v>0.95106363552290141</v>
      </c>
    </row>
    <row r="45" spans="1:19" x14ac:dyDescent="0.4">
      <c r="A45" s="14">
        <v>60</v>
      </c>
      <c r="B45" s="16">
        <v>5</v>
      </c>
      <c r="C45" s="17">
        <f t="shared" si="10"/>
        <v>1.1340167867151153E-2</v>
      </c>
      <c r="D45" s="17">
        <f t="shared" si="11"/>
        <v>5.5123302970812027E-2</v>
      </c>
      <c r="E45" s="27">
        <f t="shared" si="16"/>
        <v>8948.8593176266695</v>
      </c>
      <c r="F45" s="27">
        <f t="shared" si="17"/>
        <v>43499.416339119241</v>
      </c>
      <c r="G45" s="20">
        <f t="shared" si="18"/>
        <v>206712.16222470577</v>
      </c>
      <c r="H45" s="13">
        <f t="shared" si="12"/>
        <v>23.099274990002634</v>
      </c>
      <c r="I45" s="16">
        <v>5</v>
      </c>
      <c r="J45" s="17">
        <f t="shared" si="13"/>
        <v>4.9529804777260706E-3</v>
      </c>
      <c r="K45" s="17">
        <f t="shared" si="14"/>
        <v>2.4460767985770127E-2</v>
      </c>
      <c r="L45" s="27">
        <f t="shared" si="19"/>
        <v>9464.4245685283786</v>
      </c>
      <c r="M45" s="27">
        <f t="shared" si="20"/>
        <v>46740.966278929889</v>
      </c>
      <c r="N45" s="20">
        <f>SUM(M45:$M$53)</f>
        <v>261287.8836422328</v>
      </c>
      <c r="O45" s="13">
        <f t="shared" si="15"/>
        <v>27.607371346281479</v>
      </c>
    </row>
    <row r="46" spans="1:19" x14ac:dyDescent="0.4">
      <c r="A46" s="14">
        <v>65</v>
      </c>
      <c r="B46" s="16">
        <v>5</v>
      </c>
      <c r="C46" s="17">
        <f t="shared" si="10"/>
        <v>1.5118430603448535E-2</v>
      </c>
      <c r="D46" s="17">
        <f t="shared" si="11"/>
        <v>7.2805717153806238E-2</v>
      </c>
      <c r="E46" s="20">
        <f t="shared" si="16"/>
        <v>8455.5686342179597</v>
      </c>
      <c r="F46" s="20">
        <f t="shared" si="17"/>
        <v>40719.420851596391</v>
      </c>
      <c r="G46" s="20">
        <f t="shared" si="18"/>
        <v>163212.74588558654</v>
      </c>
      <c r="H46" s="13">
        <f t="shared" si="12"/>
        <v>19.302397384026651</v>
      </c>
      <c r="I46" s="16">
        <v>5</v>
      </c>
      <c r="J46" s="17">
        <f t="shared" si="13"/>
        <v>6.7853239851226052E-3</v>
      </c>
      <c r="K46" s="17">
        <f t="shared" si="14"/>
        <v>3.3357565671201517E-2</v>
      </c>
      <c r="L46" s="20">
        <f t="shared" si="19"/>
        <v>9232.9174750387829</v>
      </c>
      <c r="M46" s="20">
        <f t="shared" si="20"/>
        <v>45390.26458952955</v>
      </c>
      <c r="N46" s="20">
        <f>SUM(M46:$M$53)</f>
        <v>214546.9173633029</v>
      </c>
      <c r="O46" s="13">
        <f t="shared" si="15"/>
        <v>23.237174808865245</v>
      </c>
    </row>
    <row r="47" spans="1:19" x14ac:dyDescent="0.4">
      <c r="A47" s="14">
        <v>70</v>
      </c>
      <c r="B47" s="16">
        <v>5</v>
      </c>
      <c r="C47" s="17">
        <f t="shared" si="10"/>
        <v>2.1683982080929094E-2</v>
      </c>
      <c r="D47" s="17">
        <f t="shared" si="11"/>
        <v>0.10274924761089899</v>
      </c>
      <c r="E47" s="20">
        <f t="shared" si="16"/>
        <v>7839.954895860491</v>
      </c>
      <c r="F47" s="20">
        <f t="shared" si="17"/>
        <v>37149.517272545796</v>
      </c>
      <c r="G47" s="20">
        <f t="shared" si="18"/>
        <v>122493.32503399014</v>
      </c>
      <c r="H47" s="13">
        <f t="shared" si="12"/>
        <v>15.624238488752891</v>
      </c>
      <c r="I47" s="16">
        <v>5</v>
      </c>
      <c r="J47" s="17">
        <f t="shared" si="13"/>
        <v>1.0492054434988584E-2</v>
      </c>
      <c r="K47" s="17">
        <f t="shared" si="14"/>
        <v>5.1107982276928809E-2</v>
      </c>
      <c r="L47" s="20">
        <f t="shared" si="19"/>
        <v>8924.9298240283933</v>
      </c>
      <c r="M47" s="20">
        <f t="shared" si="20"/>
        <v>43474.341283264548</v>
      </c>
      <c r="N47" s="20">
        <f>SUM(M47:$M$53)</f>
        <v>169156.65277377336</v>
      </c>
      <c r="O47" s="13">
        <f t="shared" si="15"/>
        <v>18.953275388043568</v>
      </c>
    </row>
    <row r="48" spans="1:19" x14ac:dyDescent="0.4">
      <c r="A48" s="14">
        <v>75</v>
      </c>
      <c r="B48" s="16">
        <v>5</v>
      </c>
      <c r="C48" s="17">
        <f t="shared" si="10"/>
        <v>3.4195252795331713E-2</v>
      </c>
      <c r="D48" s="17">
        <f t="shared" si="11"/>
        <v>0.15715842105841527</v>
      </c>
      <c r="E48" s="20">
        <f t="shared" si="16"/>
        <v>7034.4054290074419</v>
      </c>
      <c r="F48" s="20">
        <f t="shared" si="17"/>
        <v>32329.518279171083</v>
      </c>
      <c r="G48" s="20">
        <f t="shared" si="18"/>
        <v>85343.807761444346</v>
      </c>
      <c r="H48" s="13">
        <f t="shared" si="12"/>
        <v>12.132341336130011</v>
      </c>
      <c r="I48" s="16">
        <v>5</v>
      </c>
      <c r="J48" s="17">
        <f t="shared" si="13"/>
        <v>1.8284070503828617E-2</v>
      </c>
      <c r="K48" s="17">
        <f t="shared" si="14"/>
        <v>8.7365997743435675E-2</v>
      </c>
      <c r="L48" s="20">
        <f t="shared" si="19"/>
        <v>8468.7946687591175</v>
      </c>
      <c r="M48" s="20">
        <f t="shared" si="20"/>
        <v>40466.08197914646</v>
      </c>
      <c r="N48" s="20">
        <f>SUM(M48:$M$53)</f>
        <v>125682.3114905088</v>
      </c>
      <c r="O48" s="13">
        <f t="shared" si="15"/>
        <v>14.840637470423438</v>
      </c>
    </row>
    <row r="49" spans="1:15" x14ac:dyDescent="0.4">
      <c r="A49" s="14">
        <v>80</v>
      </c>
      <c r="B49" s="16">
        <v>5</v>
      </c>
      <c r="C49" s="17">
        <f t="shared" si="10"/>
        <v>6.1195772291256015E-2</v>
      </c>
      <c r="D49" s="17">
        <f t="shared" si="11"/>
        <v>0.26359781423862583</v>
      </c>
      <c r="E49" s="20">
        <f t="shared" si="16"/>
        <v>5928.8893786998879</v>
      </c>
      <c r="F49" s="20">
        <f t="shared" si="17"/>
        <v>25538.402778049451</v>
      </c>
      <c r="G49" s="20">
        <f t="shared" si="18"/>
        <v>53014.289482273263</v>
      </c>
      <c r="H49" s="13">
        <f t="shared" si="12"/>
        <v>8.9416897661697412</v>
      </c>
      <c r="I49" s="16">
        <v>5</v>
      </c>
      <c r="J49" s="17">
        <f t="shared" si="13"/>
        <v>3.6186598728547896E-2</v>
      </c>
      <c r="K49" s="17">
        <f t="shared" si="14"/>
        <v>0.16550872695716745</v>
      </c>
      <c r="L49" s="20">
        <f t="shared" si="19"/>
        <v>7728.9099728386882</v>
      </c>
      <c r="M49" s="20">
        <f t="shared" si="20"/>
        <v>35350.159874570119</v>
      </c>
      <c r="N49" s="20">
        <f>SUM(M49:$M$53)</f>
        <v>85216.22951136234</v>
      </c>
      <c r="O49" s="13">
        <f t="shared" si="15"/>
        <v>11.02564654147006</v>
      </c>
    </row>
    <row r="50" spans="1:15" x14ac:dyDescent="0.4">
      <c r="A50" s="14">
        <v>85</v>
      </c>
      <c r="B50" s="16">
        <v>5</v>
      </c>
      <c r="C50" s="17">
        <f t="shared" si="10"/>
        <v>0.11296955727281234</v>
      </c>
      <c r="D50" s="17">
        <f t="shared" si="11"/>
        <v>0.43155333449349953</v>
      </c>
      <c r="E50" s="20">
        <f t="shared" si="16"/>
        <v>4366.0470976119932</v>
      </c>
      <c r="F50" s="20">
        <f t="shared" si="17"/>
        <v>16678.671927340343</v>
      </c>
      <c r="G50" s="20">
        <f t="shared" si="18"/>
        <v>27475.886704223813</v>
      </c>
      <c r="H50" s="13">
        <f t="shared" si="12"/>
        <v>6.2930806951788796</v>
      </c>
      <c r="I50" s="16">
        <v>5</v>
      </c>
      <c r="J50" s="17">
        <f t="shared" si="13"/>
        <v>7.5254754441481456E-2</v>
      </c>
      <c r="K50" s="17">
        <f t="shared" si="14"/>
        <v>0.31358561386553307</v>
      </c>
      <c r="L50" s="20">
        <f t="shared" si="19"/>
        <v>6449.7079224676008</v>
      </c>
      <c r="M50" s="20">
        <f t="shared" si="20"/>
        <v>26875.85167383853</v>
      </c>
      <c r="N50" s="20">
        <f>SUM(M50:$M$53)</f>
        <v>49866.069636792221</v>
      </c>
      <c r="O50" s="13">
        <f t="shared" si="15"/>
        <v>7.7315236963031202</v>
      </c>
    </row>
    <row r="51" spans="1:15" x14ac:dyDescent="0.4">
      <c r="A51" s="14">
        <v>90</v>
      </c>
      <c r="B51" s="16">
        <v>5</v>
      </c>
      <c r="C51" s="17">
        <f t="shared" si="10"/>
        <v>0.1970870158983741</v>
      </c>
      <c r="D51" s="17">
        <f t="shared" si="11"/>
        <v>0.62672321347263138</v>
      </c>
      <c r="E51" s="20">
        <f t="shared" si="16"/>
        <v>2481.864914081872</v>
      </c>
      <c r="F51" s="20">
        <f t="shared" si="17"/>
        <v>7892.1604615517381</v>
      </c>
      <c r="G51" s="20">
        <f t="shared" si="18"/>
        <v>10797.214776883469</v>
      </c>
      <c r="H51" s="13">
        <f t="shared" si="12"/>
        <v>4.3504441823650719</v>
      </c>
      <c r="I51" s="16">
        <v>5</v>
      </c>
      <c r="J51" s="17">
        <f t="shared" si="13"/>
        <v>0.14810427397855169</v>
      </c>
      <c r="K51" s="17">
        <f t="shared" si="14"/>
        <v>0.52313477247508411</v>
      </c>
      <c r="L51" s="20">
        <f t="shared" si="19"/>
        <v>4427.1723043472066</v>
      </c>
      <c r="M51" s="20">
        <f t="shared" si="20"/>
        <v>15637.683599043683</v>
      </c>
      <c r="N51" s="20">
        <f>SUM(M51:$M$53)</f>
        <v>22990.217962953691</v>
      </c>
      <c r="O51" s="13">
        <f t="shared" si="15"/>
        <v>5.192980164873803</v>
      </c>
    </row>
    <row r="52" spans="1:15" x14ac:dyDescent="0.4">
      <c r="A52" s="14">
        <v>95</v>
      </c>
      <c r="B52" s="16">
        <v>5</v>
      </c>
      <c r="C52" s="17">
        <f t="shared" si="10"/>
        <v>0.30038889633901034</v>
      </c>
      <c r="D52" s="17">
        <f t="shared" si="11"/>
        <v>0.77730329080829375</v>
      </c>
      <c r="E52" s="20">
        <f t="shared" si="16"/>
        <v>926.42255972350506</v>
      </c>
      <c r="F52" s="20">
        <f>(E53-E52)/(LN(E53)-LN(E52))*B52</f>
        <v>2397.2633913186537</v>
      </c>
      <c r="G52" s="20">
        <f t="shared" si="18"/>
        <v>2905.0543153317312</v>
      </c>
      <c r="H52" s="13">
        <f t="shared" si="12"/>
        <v>3.1357767412300039</v>
      </c>
      <c r="I52" s="16">
        <v>5</v>
      </c>
      <c r="J52" s="17">
        <f t="shared" si="13"/>
        <v>0.25818895786955742</v>
      </c>
      <c r="K52" s="17">
        <f t="shared" si="14"/>
        <v>0.72498916699549565</v>
      </c>
      <c r="L52" s="20">
        <f t="shared" si="19"/>
        <v>2111.164528204537</v>
      </c>
      <c r="M52" s="20">
        <f t="shared" si="20"/>
        <v>5928.1056220333157</v>
      </c>
      <c r="N52" s="20">
        <f>SUM(M52:$M$53)</f>
        <v>7352.5343639100065</v>
      </c>
      <c r="O52" s="13">
        <f t="shared" si="15"/>
        <v>3.4826913135770852</v>
      </c>
    </row>
    <row r="53" spans="1:15" x14ac:dyDescent="0.4">
      <c r="A53" s="14" t="s">
        <v>47</v>
      </c>
      <c r="B53" s="16"/>
      <c r="C53" s="17">
        <f t="shared" si="10"/>
        <v>0.40629173467873569</v>
      </c>
      <c r="D53" s="17">
        <v>1</v>
      </c>
      <c r="E53" s="20">
        <f t="shared" si="16"/>
        <v>206.31125537138152</v>
      </c>
      <c r="F53" s="20">
        <f>E53*H53</f>
        <v>507.79092401305337</v>
      </c>
      <c r="G53" s="20">
        <f>F53</f>
        <v>507.79092401305337</v>
      </c>
      <c r="H53" s="13">
        <f>1/C53</f>
        <v>2.4612856099342588</v>
      </c>
      <c r="I53" s="16"/>
      <c r="J53" s="17">
        <f t="shared" si="13"/>
        <v>0.40759716400144907</v>
      </c>
      <c r="K53" s="17">
        <v>1</v>
      </c>
      <c r="L53" s="20">
        <f t="shared" si="19"/>
        <v>580.59311551109113</v>
      </c>
      <c r="M53" s="20">
        <f>L53*O53</f>
        <v>1424.4287418766905</v>
      </c>
      <c r="N53" s="20">
        <f>M53</f>
        <v>1424.4287418766905</v>
      </c>
      <c r="O53" s="13">
        <f>1/J53</f>
        <v>2.4534027425088878</v>
      </c>
    </row>
    <row r="55" spans="1:15" ht="16.149999999999999" x14ac:dyDescent="0.55000000000000004">
      <c r="E55" s="25" t="s">
        <v>48</v>
      </c>
      <c r="F55" s="28">
        <f>SUM(F36:F45)/E36</f>
        <v>48.229735205127106</v>
      </c>
      <c r="L55" s="25" t="s">
        <v>48</v>
      </c>
      <c r="M55" s="28">
        <f>SUM(M36:M45)/L36</f>
        <v>49.158325773378145</v>
      </c>
    </row>
    <row r="56" spans="1:15" ht="15.4" x14ac:dyDescent="0.55000000000000004">
      <c r="E56" s="15" t="s">
        <v>50</v>
      </c>
      <c r="F56" s="29" t="s">
        <v>51</v>
      </c>
      <c r="L56" s="15" t="s">
        <v>50</v>
      </c>
      <c r="M56" s="29" t="s">
        <v>51</v>
      </c>
    </row>
    <row r="57" spans="1:15" x14ac:dyDescent="0.4">
      <c r="N57" s="24"/>
    </row>
    <row r="58" spans="1:15" ht="15.4" x14ac:dyDescent="0.55000000000000004">
      <c r="D58" s="10" t="s">
        <v>52</v>
      </c>
      <c r="E58" s="15" t="s">
        <v>53</v>
      </c>
      <c r="F58" s="17">
        <f>1-EXP(-3*C36)</f>
        <v>9.3869124018364225E-4</v>
      </c>
      <c r="K58" s="10" t="s">
        <v>52</v>
      </c>
      <c r="L58" s="15" t="s">
        <v>53</v>
      </c>
      <c r="M58" s="17">
        <f>1-EXP(-3*J36)</f>
        <v>4.3533891089619914E-4</v>
      </c>
    </row>
    <row r="59" spans="1:15" ht="15.4" x14ac:dyDescent="0.55000000000000004">
      <c r="D59" s="10" t="s">
        <v>54</v>
      </c>
      <c r="E59" s="14" t="s">
        <v>55</v>
      </c>
      <c r="F59" s="20">
        <f>E36*(1-F58)</f>
        <v>9937.227334093368</v>
      </c>
      <c r="K59" s="10" t="s">
        <v>54</v>
      </c>
      <c r="L59" s="14" t="s">
        <v>55</v>
      </c>
      <c r="M59" s="20">
        <f>L36*(1-M58)</f>
        <v>9951.4104156918711</v>
      </c>
    </row>
    <row r="60" spans="1:15" ht="15.4" x14ac:dyDescent="0.55000000000000004">
      <c r="D60" s="10" t="s">
        <v>56</v>
      </c>
      <c r="E60" s="14" t="s">
        <v>57</v>
      </c>
      <c r="F60" s="20">
        <f>E45</f>
        <v>8948.8593176266695</v>
      </c>
      <c r="K60" s="10" t="s">
        <v>56</v>
      </c>
      <c r="L60" s="14" t="s">
        <v>57</v>
      </c>
      <c r="M60" s="20">
        <f>L45</f>
        <v>9464.4245685283786</v>
      </c>
    </row>
    <row r="61" spans="1:15" ht="15.4" x14ac:dyDescent="0.55000000000000004">
      <c r="E61" s="30" t="s">
        <v>50</v>
      </c>
      <c r="F61" s="31">
        <f>F60/F59</f>
        <v>0.9005388542258933</v>
      </c>
      <c r="L61" s="30" t="s">
        <v>50</v>
      </c>
      <c r="M61" s="31">
        <f>M60/M59</f>
        <v>0.95106363552290141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0664062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Enoncé</vt:lpstr>
      <vt:lpstr>Ex-1corr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2015-06-05T18:19:34Z</dcterms:created>
  <dcterms:modified xsi:type="dcterms:W3CDTF">2023-02-01T09:11:48Z</dcterms:modified>
</cp:coreProperties>
</file>