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At_use\2-Cours\1 - Demographie\2-TD\TD-6 Interference\"/>
    </mc:Choice>
  </mc:AlternateContent>
  <xr:revisionPtr revIDLastSave="0" documentId="8_{48AB6553-D18C-4638-A666-2B2BE82E2C85}" xr6:coauthVersionLast="47" xr6:coauthVersionMax="47" xr10:uidLastSave="{00000000-0000-0000-0000-000000000000}"/>
  <bookViews>
    <workbookView xWindow="1900" yWindow="1660" windowWidth="36370" windowHeight="19480" xr2:uid="{00000000-000D-0000-FFFF-FFFF00000000}"/>
  </bookViews>
  <sheets>
    <sheet name="ennoncé" sheetId="7" r:id="rId1"/>
    <sheet name="Mortalité foetale" sheetId="5" r:id="rId2"/>
    <sheet name="F 1" sheetId="4" r:id="rId3"/>
    <sheet name="Tumeur calculs a)" sheetId="8" r:id="rId4"/>
    <sheet name="Feuil1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8" i="5" l="1"/>
  <c r="AD8" i="5" s="1"/>
  <c r="AA9" i="5"/>
  <c r="AD9" i="5" s="1"/>
  <c r="AA10" i="5"/>
  <c r="AA11" i="5"/>
  <c r="AD11" i="5" s="1"/>
  <c r="AA12" i="5"/>
  <c r="AA13" i="5"/>
  <c r="AA14" i="5"/>
  <c r="AA15" i="5"/>
  <c r="AD15" i="5" s="1"/>
  <c r="AA16" i="5"/>
  <c r="AD16" i="5" s="1"/>
  <c r="AA7" i="5"/>
  <c r="AD10" i="5"/>
  <c r="AD12" i="5"/>
  <c r="AD13" i="5"/>
  <c r="AD14" i="5"/>
  <c r="AD7" i="5"/>
  <c r="X8" i="5"/>
  <c r="X9" i="5"/>
  <c r="X10" i="5"/>
  <c r="X11" i="5"/>
  <c r="X12" i="5"/>
  <c r="X13" i="5"/>
  <c r="X14" i="5"/>
  <c r="X15" i="5"/>
  <c r="X16" i="5"/>
  <c r="X7" i="5"/>
  <c r="C48" i="8"/>
  <c r="B48" i="8"/>
  <c r="L47" i="8"/>
  <c r="G47" i="8"/>
  <c r="K47" i="8" s="1"/>
  <c r="F47" i="8"/>
  <c r="E47" i="8"/>
  <c r="I47" i="8" s="1"/>
  <c r="L46" i="8"/>
  <c r="G46" i="8"/>
  <c r="K46" i="8" s="1"/>
  <c r="F46" i="8"/>
  <c r="E46" i="8"/>
  <c r="L45" i="8"/>
  <c r="G45" i="8"/>
  <c r="K45" i="8" s="1"/>
  <c r="F45" i="8"/>
  <c r="E45" i="8"/>
  <c r="L44" i="8"/>
  <c r="G44" i="8"/>
  <c r="K44" i="8" s="1"/>
  <c r="F44" i="8"/>
  <c r="E44" i="8"/>
  <c r="L43" i="8"/>
  <c r="G43" i="8"/>
  <c r="K43" i="8" s="1"/>
  <c r="F43" i="8"/>
  <c r="E43" i="8"/>
  <c r="L42" i="8"/>
  <c r="G42" i="8"/>
  <c r="K42" i="8" s="1"/>
  <c r="F42" i="8"/>
  <c r="E42" i="8"/>
  <c r="L41" i="8"/>
  <c r="G41" i="8"/>
  <c r="K41" i="8" s="1"/>
  <c r="F41" i="8"/>
  <c r="E41" i="8"/>
  <c r="L40" i="8"/>
  <c r="G40" i="8"/>
  <c r="K40" i="8" s="1"/>
  <c r="F40" i="8"/>
  <c r="E40" i="8"/>
  <c r="L39" i="8"/>
  <c r="G39" i="8"/>
  <c r="K39" i="8" s="1"/>
  <c r="F39" i="8"/>
  <c r="E39" i="8"/>
  <c r="L38" i="8"/>
  <c r="G38" i="8"/>
  <c r="K38" i="8" s="1"/>
  <c r="F38" i="8"/>
  <c r="E38" i="8"/>
  <c r="L37" i="8"/>
  <c r="G37" i="8"/>
  <c r="K37" i="8" s="1"/>
  <c r="F37" i="8"/>
  <c r="E37" i="8"/>
  <c r="L36" i="8"/>
  <c r="G36" i="8"/>
  <c r="K36" i="8" s="1"/>
  <c r="F36" i="8"/>
  <c r="E36" i="8"/>
  <c r="L35" i="8"/>
  <c r="G35" i="8"/>
  <c r="K35" i="8" s="1"/>
  <c r="F35" i="8"/>
  <c r="E35" i="8"/>
  <c r="L34" i="8"/>
  <c r="G34" i="8"/>
  <c r="K34" i="8" s="1"/>
  <c r="F34" i="8"/>
  <c r="E34" i="8"/>
  <c r="L33" i="8"/>
  <c r="G33" i="8"/>
  <c r="K33" i="8" s="1"/>
  <c r="F33" i="8"/>
  <c r="E33" i="8"/>
  <c r="L32" i="8"/>
  <c r="G32" i="8"/>
  <c r="K32" i="8" s="1"/>
  <c r="F32" i="8"/>
  <c r="E32" i="8"/>
  <c r="L31" i="8"/>
  <c r="G31" i="8"/>
  <c r="K31" i="8" s="1"/>
  <c r="F31" i="8"/>
  <c r="E31" i="8"/>
  <c r="L30" i="8"/>
  <c r="G30" i="8"/>
  <c r="K30" i="8" s="1"/>
  <c r="F30" i="8"/>
  <c r="E30" i="8"/>
  <c r="L29" i="8"/>
  <c r="G29" i="8"/>
  <c r="K29" i="8" s="1"/>
  <c r="F29" i="8"/>
  <c r="E29" i="8"/>
  <c r="C25" i="8"/>
  <c r="C24" i="8"/>
  <c r="B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F8" i="8" s="1"/>
  <c r="E7" i="8"/>
  <c r="F6" i="8"/>
  <c r="L6" i="8" s="1"/>
  <c r="E6" i="8"/>
  <c r="F5" i="8"/>
  <c r="L5" i="8" s="1"/>
  <c r="E5" i="8"/>
  <c r="L7" i="4"/>
  <c r="G7" i="5"/>
  <c r="AD17" i="5" l="1"/>
  <c r="L8" i="8"/>
  <c r="G8" i="8"/>
  <c r="K48" i="8"/>
  <c r="F7" i="8"/>
  <c r="G5" i="8"/>
  <c r="I5" i="8" s="1"/>
  <c r="G6" i="8"/>
  <c r="H29" i="8"/>
  <c r="H31" i="8"/>
  <c r="H33" i="8"/>
  <c r="H35" i="8"/>
  <c r="H37" i="8"/>
  <c r="H39" i="8"/>
  <c r="H40" i="8"/>
  <c r="H42" i="8"/>
  <c r="H43" i="8"/>
  <c r="H45" i="8"/>
  <c r="H46" i="8"/>
  <c r="H47" i="8"/>
  <c r="F11" i="8"/>
  <c r="F13" i="8"/>
  <c r="F16" i="8"/>
  <c r="F19" i="8"/>
  <c r="I30" i="8"/>
  <c r="F9" i="8"/>
  <c r="H30" i="8"/>
  <c r="H32" i="8"/>
  <c r="H34" i="8"/>
  <c r="H36" i="8"/>
  <c r="H38" i="8"/>
  <c r="H41" i="8"/>
  <c r="H44" i="8"/>
  <c r="F10" i="8"/>
  <c r="F12" i="8"/>
  <c r="F14" i="8"/>
  <c r="F15" i="8"/>
  <c r="F17" i="8"/>
  <c r="F18" i="8"/>
  <c r="F20" i="8"/>
  <c r="F21" i="8"/>
  <c r="F22" i="8"/>
  <c r="F23" i="8"/>
  <c r="I29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F8" i="5"/>
  <c r="G8" i="5" l="1"/>
  <c r="N7" i="5"/>
  <c r="G10" i="8"/>
  <c r="L10" i="8"/>
  <c r="G20" i="8"/>
  <c r="L20" i="8"/>
  <c r="G19" i="8"/>
  <c r="L19" i="8"/>
  <c r="K6" i="8"/>
  <c r="G12" i="8"/>
  <c r="L12" i="8"/>
  <c r="L22" i="8"/>
  <c r="G22" i="8"/>
  <c r="L9" i="8"/>
  <c r="G9" i="8"/>
  <c r="L18" i="8"/>
  <c r="G18" i="8"/>
  <c r="K5" i="8"/>
  <c r="L17" i="8"/>
  <c r="G17" i="8"/>
  <c r="G13" i="8"/>
  <c r="L13" i="8"/>
  <c r="L7" i="8"/>
  <c r="G7" i="8"/>
  <c r="G15" i="8"/>
  <c r="L15" i="8"/>
  <c r="L11" i="8"/>
  <c r="G11" i="8"/>
  <c r="K49" i="8"/>
  <c r="I6" i="8"/>
  <c r="G23" i="8"/>
  <c r="L23" i="8"/>
  <c r="K8" i="8"/>
  <c r="L21" i="8"/>
  <c r="G21" i="8"/>
  <c r="G16" i="8"/>
  <c r="L16" i="8"/>
  <c r="I8" i="8"/>
  <c r="J29" i="8"/>
  <c r="J30" i="8" s="1"/>
  <c r="J31" i="8" s="1"/>
  <c r="J32" i="8" s="1"/>
  <c r="J33" i="8" s="1"/>
  <c r="J34" i="8" s="1"/>
  <c r="J35" i="8" s="1"/>
  <c r="J36" i="8" s="1"/>
  <c r="J37" i="8" s="1"/>
  <c r="J38" i="8" s="1"/>
  <c r="J39" i="8" s="1"/>
  <c r="J40" i="8" s="1"/>
  <c r="J41" i="8" s="1"/>
  <c r="J42" i="8" s="1"/>
  <c r="J43" i="8" s="1"/>
  <c r="J44" i="8" s="1"/>
  <c r="J45" i="8" s="1"/>
  <c r="J46" i="8" s="1"/>
  <c r="J47" i="8" s="1"/>
  <c r="L14" i="8"/>
  <c r="G14" i="8"/>
  <c r="W29" i="6"/>
  <c r="V29" i="6"/>
  <c r="O3" i="6"/>
  <c r="O21" i="6"/>
  <c r="O4" i="6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M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3" i="6"/>
  <c r="P7" i="5" l="1"/>
  <c r="R7" i="5" s="1"/>
  <c r="U7" i="5" s="1"/>
  <c r="O7" i="5"/>
  <c r="Q7" i="5" s="1"/>
  <c r="T7" i="5" s="1"/>
  <c r="W7" i="5"/>
  <c r="Y7" i="5" s="1"/>
  <c r="K13" i="8"/>
  <c r="H13" i="8"/>
  <c r="I13" i="8"/>
  <c r="K19" i="8"/>
  <c r="H19" i="8"/>
  <c r="I19" i="8"/>
  <c r="K11" i="8"/>
  <c r="H11" i="8"/>
  <c r="I11" i="8"/>
  <c r="K22" i="8"/>
  <c r="H22" i="8"/>
  <c r="I22" i="8"/>
  <c r="K20" i="8"/>
  <c r="H20" i="8"/>
  <c r="I20" i="8"/>
  <c r="K18" i="8"/>
  <c r="H18" i="8"/>
  <c r="I18" i="8"/>
  <c r="K23" i="8"/>
  <c r="H23" i="8"/>
  <c r="I23" i="8"/>
  <c r="K16" i="8"/>
  <c r="H16" i="8"/>
  <c r="I16" i="8"/>
  <c r="K21" i="8"/>
  <c r="H21" i="8"/>
  <c r="I21" i="8"/>
  <c r="K17" i="8"/>
  <c r="H17" i="8"/>
  <c r="I17" i="8"/>
  <c r="K14" i="8"/>
  <c r="H14" i="8"/>
  <c r="I14" i="8"/>
  <c r="H8" i="8"/>
  <c r="H5" i="8"/>
  <c r="K15" i="8"/>
  <c r="H15" i="8"/>
  <c r="I15" i="8"/>
  <c r="K12" i="8"/>
  <c r="H12" i="8"/>
  <c r="I12" i="8"/>
  <c r="K10" i="8"/>
  <c r="H10" i="8"/>
  <c r="I10" i="8"/>
  <c r="K7" i="8"/>
  <c r="H7" i="8"/>
  <c r="I7" i="8"/>
  <c r="H6" i="8"/>
  <c r="K9" i="8"/>
  <c r="K24" i="8" s="1"/>
  <c r="K25" i="8" s="1"/>
  <c r="H9" i="8"/>
  <c r="I9" i="8"/>
  <c r="T11" i="4"/>
  <c r="B29" i="4"/>
  <c r="B30" i="4" s="1"/>
  <c r="B31" i="4" s="1"/>
  <c r="B32" i="4" s="1"/>
  <c r="B33" i="4" s="1"/>
  <c r="B18" i="4"/>
  <c r="B19" i="4" s="1"/>
  <c r="B20" i="4" s="1"/>
  <c r="B21" i="4" s="1"/>
  <c r="B22" i="4" s="1"/>
  <c r="J8" i="4"/>
  <c r="E17" i="5"/>
  <c r="C17" i="5"/>
  <c r="H7" i="5"/>
  <c r="L7" i="5" s="1"/>
  <c r="I7" i="5"/>
  <c r="K7" i="5" s="1"/>
  <c r="D17" i="5"/>
  <c r="B17" i="5"/>
  <c r="A8" i="5"/>
  <c r="A9" i="5" s="1"/>
  <c r="A10" i="5" s="1"/>
  <c r="A11" i="5" s="1"/>
  <c r="A12" i="5" s="1"/>
  <c r="A13" i="5" s="1"/>
  <c r="A14" i="5" s="1"/>
  <c r="A15" i="5" s="1"/>
  <c r="A16" i="5" s="1"/>
  <c r="E7" i="4"/>
  <c r="K7" i="4" s="1"/>
  <c r="C17" i="4"/>
  <c r="D17" i="4" s="1"/>
  <c r="F17" i="4"/>
  <c r="B8" i="4"/>
  <c r="B9" i="4" s="1"/>
  <c r="B10" i="4" s="1"/>
  <c r="B11" i="4" s="1"/>
  <c r="B12" i="4" s="1"/>
  <c r="E8" i="4"/>
  <c r="T8" i="4" s="1"/>
  <c r="I8" i="4"/>
  <c r="I9" i="4" s="1"/>
  <c r="I10" i="4" s="1"/>
  <c r="I11" i="4" s="1"/>
  <c r="I12" i="4" s="1"/>
  <c r="C18" i="4"/>
  <c r="D18" i="4" s="1"/>
  <c r="F18" i="4"/>
  <c r="E9" i="4"/>
  <c r="T9" i="4" s="1"/>
  <c r="F19" i="4"/>
  <c r="E10" i="4"/>
  <c r="T10" i="4" s="1"/>
  <c r="M10" i="4"/>
  <c r="F20" i="4"/>
  <c r="E11" i="4"/>
  <c r="M11" i="4" s="1"/>
  <c r="F21" i="4"/>
  <c r="E12" i="4"/>
  <c r="M12" i="4" s="1"/>
  <c r="F22" i="4"/>
  <c r="F13" i="4"/>
  <c r="G13" i="4"/>
  <c r="C28" i="4"/>
  <c r="F28" i="4"/>
  <c r="G28" i="4" s="1"/>
  <c r="H28" i="4" s="1"/>
  <c r="I29" i="4" s="1"/>
  <c r="F29" i="4"/>
  <c r="F30" i="4"/>
  <c r="F31" i="4"/>
  <c r="F32" i="4"/>
  <c r="F33" i="4"/>
  <c r="Z7" i="5" l="1"/>
  <c r="AC7" i="5" s="1"/>
  <c r="AB8" i="5"/>
  <c r="S8" i="5"/>
  <c r="J5" i="8"/>
  <c r="J6" i="8" s="1"/>
  <c r="J7" i="8" s="1"/>
  <c r="J8" i="8" s="1"/>
  <c r="J9" i="8" s="1"/>
  <c r="J10" i="8" s="1"/>
  <c r="J11" i="8" s="1"/>
  <c r="J12" i="8" s="1"/>
  <c r="J13" i="8" s="1"/>
  <c r="J14" i="8" s="1"/>
  <c r="J15" i="8" s="1"/>
  <c r="J16" i="8" s="1"/>
  <c r="J17" i="8" s="1"/>
  <c r="J18" i="8" s="1"/>
  <c r="J19" i="8" s="1"/>
  <c r="J20" i="8" s="1"/>
  <c r="J21" i="8" s="1"/>
  <c r="J22" i="8" s="1"/>
  <c r="J23" i="8" s="1"/>
  <c r="E18" i="4"/>
  <c r="J9" i="4"/>
  <c r="C29" i="4"/>
  <c r="E29" i="4" s="1"/>
  <c r="K9" i="4"/>
  <c r="J10" i="4"/>
  <c r="N10" i="4" s="1"/>
  <c r="C19" i="4"/>
  <c r="L9" i="4"/>
  <c r="C30" i="4"/>
  <c r="M8" i="4"/>
  <c r="N8" i="4" s="1"/>
  <c r="E17" i="4"/>
  <c r="E18" i="5"/>
  <c r="K18" i="5" s="1"/>
  <c r="G29" i="4"/>
  <c r="H29" i="4" s="1"/>
  <c r="I30" i="4" s="1"/>
  <c r="G17" i="4"/>
  <c r="H17" i="4" s="1"/>
  <c r="I18" i="4" s="1"/>
  <c r="L8" i="4"/>
  <c r="D29" i="4"/>
  <c r="G18" i="4"/>
  <c r="D28" i="4"/>
  <c r="E28" i="4"/>
  <c r="I8" i="5"/>
  <c r="F9" i="5"/>
  <c r="U10" i="4"/>
  <c r="J8" i="5"/>
  <c r="H8" i="5"/>
  <c r="D30" i="4"/>
  <c r="K8" i="4"/>
  <c r="U11" i="4"/>
  <c r="M9" i="4"/>
  <c r="M7" i="4"/>
  <c r="U9" i="4"/>
  <c r="U8" i="4"/>
  <c r="N8" i="5" l="1"/>
  <c r="H18" i="4"/>
  <c r="I19" i="4" s="1"/>
  <c r="Q8" i="4"/>
  <c r="L18" i="5"/>
  <c r="F10" i="5"/>
  <c r="G9" i="5"/>
  <c r="E19" i="4"/>
  <c r="G19" i="4"/>
  <c r="H19" i="4" s="1"/>
  <c r="I20" i="4" s="1"/>
  <c r="D19" i="4"/>
  <c r="G30" i="4"/>
  <c r="E30" i="4"/>
  <c r="K10" i="4"/>
  <c r="Q10" i="4" s="1"/>
  <c r="J11" i="4"/>
  <c r="C20" i="4"/>
  <c r="L10" i="4"/>
  <c r="C31" i="4"/>
  <c r="R8" i="4"/>
  <c r="S8" i="4"/>
  <c r="H30" i="4"/>
  <c r="I31" i="4" s="1"/>
  <c r="Q9" i="4"/>
  <c r="N9" i="4"/>
  <c r="L8" i="5"/>
  <c r="K8" i="5"/>
  <c r="Q7" i="4"/>
  <c r="N7" i="4"/>
  <c r="O7" i="4" s="1"/>
  <c r="P8" i="4" s="1"/>
  <c r="O8" i="5" l="1"/>
  <c r="Q8" i="5" s="1"/>
  <c r="T8" i="5" s="1"/>
  <c r="P8" i="5"/>
  <c r="R8" i="5" s="1"/>
  <c r="U8" i="5" s="1"/>
  <c r="W8" i="5"/>
  <c r="Y8" i="5" s="1"/>
  <c r="N9" i="5"/>
  <c r="H9" i="5"/>
  <c r="I9" i="5"/>
  <c r="C32" i="4"/>
  <c r="C21" i="4"/>
  <c r="K11" i="4"/>
  <c r="L11" i="4"/>
  <c r="N11" i="4"/>
  <c r="J12" i="4"/>
  <c r="Q11" i="4"/>
  <c r="G10" i="5"/>
  <c r="F11" i="5"/>
  <c r="N10" i="5" s="1"/>
  <c r="E20" i="4"/>
  <c r="G20" i="4"/>
  <c r="D20" i="4"/>
  <c r="D31" i="4"/>
  <c r="E31" i="4"/>
  <c r="G31" i="4"/>
  <c r="H31" i="4" s="1"/>
  <c r="I32" i="4" s="1"/>
  <c r="S10" i="4"/>
  <c r="R10" i="4"/>
  <c r="V8" i="4"/>
  <c r="W8" i="4"/>
  <c r="X8" i="4"/>
  <c r="Y8" i="4"/>
  <c r="S9" i="4"/>
  <c r="R9" i="4"/>
  <c r="J9" i="5"/>
  <c r="O8" i="4"/>
  <c r="P9" i="4" s="1"/>
  <c r="H20" i="4"/>
  <c r="I21" i="4" s="1"/>
  <c r="R7" i="4"/>
  <c r="S7" i="4"/>
  <c r="P10" i="5" l="1"/>
  <c r="R10" i="5" s="1"/>
  <c r="O10" i="5"/>
  <c r="Q10" i="5" s="1"/>
  <c r="W10" i="5"/>
  <c r="Y10" i="5" s="1"/>
  <c r="Z10" i="5" s="1"/>
  <c r="N11" i="5"/>
  <c r="O9" i="5"/>
  <c r="Q9" i="5" s="1"/>
  <c r="W9" i="5"/>
  <c r="Y9" i="5" s="1"/>
  <c r="Z9" i="5" s="1"/>
  <c r="P9" i="5"/>
  <c r="R9" i="5" s="1"/>
  <c r="Z8" i="5"/>
  <c r="AC8" i="5" s="1"/>
  <c r="AB9" i="5"/>
  <c r="S9" i="5"/>
  <c r="X10" i="4"/>
  <c r="Y10" i="4"/>
  <c r="I10" i="5"/>
  <c r="H10" i="5"/>
  <c r="R11" i="4"/>
  <c r="S11" i="4"/>
  <c r="W10" i="4"/>
  <c r="V10" i="4"/>
  <c r="L12" i="4"/>
  <c r="C22" i="4"/>
  <c r="K12" i="4"/>
  <c r="Q12" i="4" s="1"/>
  <c r="N12" i="4"/>
  <c r="C33" i="4"/>
  <c r="G21" i="4"/>
  <c r="H21" i="4" s="1"/>
  <c r="I22" i="4" s="1"/>
  <c r="E21" i="4"/>
  <c r="D21" i="4"/>
  <c r="G11" i="5"/>
  <c r="F12" i="5"/>
  <c r="D32" i="4"/>
  <c r="E32" i="4"/>
  <c r="G32" i="4"/>
  <c r="H32" i="4" s="1"/>
  <c r="I33" i="4" s="1"/>
  <c r="O9" i="4"/>
  <c r="P10" i="4" s="1"/>
  <c r="V9" i="4"/>
  <c r="W9" i="4"/>
  <c r="W7" i="4"/>
  <c r="AA8" i="4" s="1"/>
  <c r="AA9" i="4" s="1"/>
  <c r="V7" i="4"/>
  <c r="Z8" i="4" s="1"/>
  <c r="Z9" i="4" s="1"/>
  <c r="X9" i="4"/>
  <c r="Y9" i="4"/>
  <c r="L9" i="5"/>
  <c r="K9" i="5"/>
  <c r="X7" i="4"/>
  <c r="AB8" i="4" s="1"/>
  <c r="AB9" i="4" s="1"/>
  <c r="AB10" i="4" s="1"/>
  <c r="AB11" i="4" s="1"/>
  <c r="Y7" i="4"/>
  <c r="AC8" i="4" s="1"/>
  <c r="AC9" i="4" s="1"/>
  <c r="AC10" i="4" s="1"/>
  <c r="AC11" i="4" s="1"/>
  <c r="U9" i="5" l="1"/>
  <c r="T9" i="5"/>
  <c r="P11" i="5"/>
  <c r="R11" i="5" s="1"/>
  <c r="O11" i="5"/>
  <c r="Q11" i="5" s="1"/>
  <c r="W11" i="5"/>
  <c r="Y11" i="5" s="1"/>
  <c r="Z11" i="5" s="1"/>
  <c r="AB10" i="5"/>
  <c r="AC9" i="5"/>
  <c r="AA10" i="4"/>
  <c r="J10" i="5"/>
  <c r="Z10" i="4"/>
  <c r="Z11" i="4" s="1"/>
  <c r="G12" i="5"/>
  <c r="F13" i="5"/>
  <c r="N12" i="5" s="1"/>
  <c r="S12" i="4"/>
  <c r="R12" i="4"/>
  <c r="AA11" i="4"/>
  <c r="G22" i="4"/>
  <c r="H22" i="4" s="1"/>
  <c r="E22" i="4"/>
  <c r="D22" i="4"/>
  <c r="H11" i="5"/>
  <c r="I11" i="5"/>
  <c r="G33" i="4"/>
  <c r="H33" i="4" s="1"/>
  <c r="D33" i="4"/>
  <c r="E33" i="4"/>
  <c r="W11" i="4"/>
  <c r="V11" i="4"/>
  <c r="Z12" i="4" s="1"/>
  <c r="Y11" i="4"/>
  <c r="AC12" i="4" s="1"/>
  <c r="X11" i="4"/>
  <c r="AB12" i="4" s="1"/>
  <c r="J23" i="4"/>
  <c r="J24" i="4"/>
  <c r="J35" i="4"/>
  <c r="J34" i="4"/>
  <c r="O10" i="4"/>
  <c r="P11" i="4"/>
  <c r="L10" i="5"/>
  <c r="K10" i="5"/>
  <c r="P12" i="5" l="1"/>
  <c r="R12" i="5" s="1"/>
  <c r="O12" i="5"/>
  <c r="Q12" i="5" s="1"/>
  <c r="W12" i="5"/>
  <c r="Y12" i="5" s="1"/>
  <c r="Z12" i="5" s="1"/>
  <c r="AB11" i="5"/>
  <c r="AC10" i="5"/>
  <c r="S10" i="5"/>
  <c r="N13" i="5"/>
  <c r="L29" i="4"/>
  <c r="J11" i="5"/>
  <c r="L11" i="5" s="1"/>
  <c r="AA12" i="4"/>
  <c r="F14" i="5"/>
  <c r="G13" i="5"/>
  <c r="L32" i="4"/>
  <c r="Y12" i="4"/>
  <c r="X12" i="4"/>
  <c r="H12" i="5"/>
  <c r="I12" i="5"/>
  <c r="V12" i="4"/>
  <c r="W12" i="4"/>
  <c r="K11" i="5"/>
  <c r="L30" i="4"/>
  <c r="O11" i="4"/>
  <c r="P12" i="4" s="1"/>
  <c r="L31" i="4"/>
  <c r="L33" i="4" s="1"/>
  <c r="M34" i="4" s="1"/>
  <c r="U10" i="5" l="1"/>
  <c r="T10" i="5"/>
  <c r="W13" i="5"/>
  <c r="Y13" i="5" s="1"/>
  <c r="Z13" i="5" s="1"/>
  <c r="P13" i="5"/>
  <c r="R13" i="5" s="1"/>
  <c r="O13" i="5"/>
  <c r="Q13" i="5" s="1"/>
  <c r="N14" i="5"/>
  <c r="AB12" i="5"/>
  <c r="AC11" i="5"/>
  <c r="J12" i="5"/>
  <c r="K12" i="5" s="1"/>
  <c r="I13" i="5"/>
  <c r="H13" i="5"/>
  <c r="G14" i="5"/>
  <c r="F15" i="5"/>
  <c r="O12" i="4"/>
  <c r="Q13" i="4"/>
  <c r="Q14" i="4" s="1"/>
  <c r="AB13" i="5" l="1"/>
  <c r="AC12" i="5"/>
  <c r="O14" i="5"/>
  <c r="Q14" i="5" s="1"/>
  <c r="W14" i="5"/>
  <c r="Y14" i="5" s="1"/>
  <c r="Z14" i="5" s="1"/>
  <c r="P14" i="5"/>
  <c r="R14" i="5" s="1"/>
  <c r="S11" i="5"/>
  <c r="N15" i="5"/>
  <c r="L12" i="5"/>
  <c r="J13" i="5" s="1"/>
  <c r="H14" i="5"/>
  <c r="I14" i="5"/>
  <c r="F16" i="5"/>
  <c r="G15" i="5"/>
  <c r="L13" i="5" l="1"/>
  <c r="K13" i="5"/>
  <c r="N16" i="5"/>
  <c r="G16" i="5"/>
  <c r="O15" i="5"/>
  <c r="Q15" i="5" s="1"/>
  <c r="W15" i="5"/>
  <c r="Y15" i="5" s="1"/>
  <c r="Z15" i="5" s="1"/>
  <c r="P15" i="5"/>
  <c r="R15" i="5" s="1"/>
  <c r="T11" i="5"/>
  <c r="U11" i="5"/>
  <c r="AB14" i="5"/>
  <c r="AC13" i="5"/>
  <c r="J14" i="5"/>
  <c r="L14" i="5" s="1"/>
  <c r="H16" i="5"/>
  <c r="I16" i="5"/>
  <c r="I15" i="5"/>
  <c r="H15" i="5"/>
  <c r="S12" i="5" l="1"/>
  <c r="O16" i="5"/>
  <c r="Q16" i="5" s="1"/>
  <c r="W16" i="5"/>
  <c r="Y16" i="5" s="1"/>
  <c r="Z16" i="5" s="1"/>
  <c r="P16" i="5"/>
  <c r="R16" i="5" s="1"/>
  <c r="AB15" i="5"/>
  <c r="AC14" i="5"/>
  <c r="K14" i="5"/>
  <c r="J15" i="5" s="1"/>
  <c r="AB16" i="5" l="1"/>
  <c r="AC16" i="5" s="1"/>
  <c r="AC15" i="5"/>
  <c r="U12" i="5"/>
  <c r="T12" i="5"/>
  <c r="S13" i="5" s="1"/>
  <c r="K15" i="5"/>
  <c r="L15" i="5"/>
  <c r="J16" i="5" s="1"/>
  <c r="L16" i="5" s="1"/>
  <c r="L17" i="5" s="1"/>
  <c r="K16" i="5"/>
  <c r="K17" i="5" s="1"/>
  <c r="U13" i="5" l="1"/>
  <c r="T13" i="5"/>
  <c r="S14" i="5" s="1"/>
  <c r="AC17" i="5"/>
  <c r="U14" i="5" l="1"/>
  <c r="T14" i="5"/>
  <c r="S15" i="5" s="1"/>
  <c r="T15" i="5" l="1"/>
  <c r="S16" i="5" s="1"/>
  <c r="U15" i="5"/>
  <c r="T16" i="5" l="1"/>
  <c r="T17" i="5" s="1"/>
  <c r="U16" i="5"/>
  <c r="U17" i="5" s="1"/>
</calcChain>
</file>

<file path=xl/sharedStrings.xml><?xml version="1.0" encoding="utf-8"?>
<sst xmlns="http://schemas.openxmlformats.org/spreadsheetml/2006/main" count="258" uniqueCount="141">
  <si>
    <t>Décès</t>
  </si>
  <si>
    <t>Mortalité des coureurs</t>
  </si>
  <si>
    <t>Rallu, 1991</t>
  </si>
  <si>
    <t>x</t>
  </si>
  <si>
    <t>Mortalité fœtale</t>
  </si>
  <si>
    <t>Quotients</t>
  </si>
  <si>
    <t>Table de mortalité</t>
  </si>
  <si>
    <t>Entrées</t>
  </si>
  <si>
    <t>Fausse couches</t>
  </si>
  <si>
    <t>Sorties</t>
  </si>
  <si>
    <t>t</t>
  </si>
  <si>
    <t>Et</t>
  </si>
  <si>
    <t>Dt</t>
  </si>
  <si>
    <t>St</t>
  </si>
  <si>
    <t>Nt</t>
  </si>
  <si>
    <t>Gt</t>
  </si>
  <si>
    <t>v(t)</t>
  </si>
  <si>
    <t>q(t)</t>
  </si>
  <si>
    <t>S(t)</t>
  </si>
  <si>
    <t>d(t)</t>
  </si>
  <si>
    <t>n(t)</t>
  </si>
  <si>
    <t>Total</t>
  </si>
  <si>
    <t>Table des risques combinées</t>
  </si>
  <si>
    <t>Table "nette" (en absence d'un événement concurrent)</t>
  </si>
  <si>
    <t>q20-45 =</t>
  </si>
  <si>
    <t>2. Quelle mortalité pourrait-on observée en absence des décès hors compétition ?</t>
  </si>
  <si>
    <t>1. Quelle mortalité pourrait-on observée en absence des décès en compétition ?</t>
  </si>
  <si>
    <t>Données</t>
  </si>
  <si>
    <t>Mortalité toutes causes confondues</t>
  </si>
  <si>
    <t>Les événements sont symétriques. Deux question suivantes sont justes  :</t>
  </si>
  <si>
    <t>Les événements concurrents : les décès en compétition et les décès hors compétition</t>
  </si>
  <si>
    <t>p' =</t>
  </si>
  <si>
    <t>p''=</t>
  </si>
  <si>
    <t>p2 =</t>
  </si>
  <si>
    <t>p1 =</t>
  </si>
  <si>
    <t>1-p1*p2 =</t>
  </si>
  <si>
    <t>p1*p2 =</t>
  </si>
  <si>
    <t>q1+q2 =</t>
  </si>
  <si>
    <t>q1 * q2 =</t>
  </si>
  <si>
    <t xml:space="preserve">Les phénomènes concurrents sont les fausses couches et  les naissances </t>
  </si>
  <si>
    <t>Les naissances empêchent les fausses couches</t>
  </si>
  <si>
    <t>Les fausses couches empêchent les naissances (cependant il y une période où une naissance vivante est impossible)</t>
  </si>
  <si>
    <t>Ces sont deux événements complémentaires  et la question sur la probabilité d'un événement en absence d'un autre n'a pas de sens…</t>
  </si>
  <si>
    <t>La probabilité d'un événement en absence d'un autre est toujours 100%</t>
  </si>
  <si>
    <t>Naissances vivantes</t>
  </si>
  <si>
    <t>Survivant</t>
  </si>
  <si>
    <t>La conclusion à propos du risque d'une fausse couche pourrait être erronée, si on ne prend pas en considération la durée de l'exposition au risque.</t>
  </si>
  <si>
    <t>Notez: p' = p"</t>
  </si>
  <si>
    <t>taux</t>
  </si>
  <si>
    <t>quotients</t>
  </si>
  <si>
    <t>exp</t>
  </si>
  <si>
    <t>linéaire</t>
  </si>
  <si>
    <t>part de décès</t>
  </si>
  <si>
    <t>comp</t>
  </si>
  <si>
    <t>hors</t>
  </si>
  <si>
    <t>Mortalité en compétition</t>
  </si>
  <si>
    <t>Mortalité hors compétition</t>
  </si>
  <si>
    <t>On peut voir que les tables sont équivalentes</t>
  </si>
  <si>
    <t>Méthode Chang</t>
  </si>
  <si>
    <t>Faites les exercices basés sur les exemples développés dans le chapitre 6 du cours :</t>
  </si>
  <si>
    <t>Les phénomènes perturbateurs sont les entrées (troncature à gauche) en et les sorties de l'observation (troncature à droite)</t>
  </si>
  <si>
    <t>Effective au risque</t>
  </si>
  <si>
    <t>risque pop</t>
  </si>
  <si>
    <t>La proportion (le risque) des fausse couches parmi tous les grossesses observées jusqu'à un résultat "positif" est égal à ~9% (273 : 3050 = 0,0895)</t>
  </si>
  <si>
    <t>et la situation quand toutes les grossesses aboutissent à une naissances vivante est banale</t>
  </si>
  <si>
    <t>Les événements perturbateurs: les entrées (troncature à gauche)  en et les sorties (troncature à droite) de l'observation</t>
  </si>
  <si>
    <t>Calcules des risques nettes sont justifiés par la possibilité théorique d'élimination d'un des deux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</si>
  <si>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</si>
  <si>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</si>
  <si>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</si>
  <si>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</si>
  <si>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</si>
  <si>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</si>
  <si>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</si>
  <si>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</si>
  <si>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</si>
  <si>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</si>
  <si>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</si>
  <si>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</si>
  <si>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</si>
  <si>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</si>
  <si>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</si>
  <si>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</si>
  <si>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</si>
  <si>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100-104</t>
  </si>
  <si>
    <t>105-109</t>
  </si>
  <si>
    <t>110+</t>
  </si>
  <si>
    <t>1. Études de la probabilité de la mortalité fœtal (phénomènes perturbateurs: effet de troncature et estimation correcte de la population au risque)</t>
  </si>
  <si>
    <t>2. Exercice F-1 : la mortalité des coureurs de la F-1 (les phénomènes concurrents et estimation des probabilités "nettes")</t>
  </si>
  <si>
    <t>p''=q1+q2-q1*q2=</t>
  </si>
  <si>
    <r>
      <rPr>
        <vertAlign val="subscript"/>
        <sz val="10"/>
        <rFont val="Calibri"/>
        <family val="2"/>
        <charset val="204"/>
      </rPr>
      <t>5</t>
    </r>
    <r>
      <rPr>
        <sz val="10"/>
        <rFont val="Calibri"/>
        <family val="2"/>
        <charset val="204"/>
      </rPr>
      <t>D</t>
    </r>
    <r>
      <rPr>
        <vertAlign val="subscript"/>
        <sz val="10"/>
        <rFont val="Calibri"/>
        <family val="2"/>
        <charset val="204"/>
      </rPr>
      <t>x</t>
    </r>
  </si>
  <si>
    <r>
      <t>P</t>
    </r>
    <r>
      <rPr>
        <vertAlign val="subscript"/>
        <sz val="10"/>
        <rFont val="Calibri"/>
        <family val="2"/>
        <charset val="204"/>
      </rPr>
      <t>x</t>
    </r>
  </si>
  <si>
    <r>
      <t>P</t>
    </r>
    <r>
      <rPr>
        <vertAlign val="subscript"/>
        <sz val="10"/>
        <rFont val="Calibri"/>
        <family val="2"/>
        <charset val="204"/>
      </rPr>
      <t>x+5</t>
    </r>
  </si>
  <si>
    <t>Pop.exp.</t>
  </si>
  <si>
    <r>
      <rPr>
        <vertAlign val="subscript"/>
        <sz val="10"/>
        <rFont val="Calibri"/>
        <family val="2"/>
        <charset val="204"/>
      </rPr>
      <t>5</t>
    </r>
    <r>
      <rPr>
        <sz val="10"/>
        <rFont val="Calibri"/>
        <family val="2"/>
        <charset val="204"/>
      </rPr>
      <t>d</t>
    </r>
    <r>
      <rPr>
        <vertAlign val="subscript"/>
        <sz val="10"/>
        <rFont val="Calibri"/>
        <family val="2"/>
        <charset val="204"/>
      </rPr>
      <t>x</t>
    </r>
  </si>
  <si>
    <r>
      <t>5</t>
    </r>
    <r>
      <rPr>
        <sz val="10"/>
        <rFont val="Calibri"/>
        <family val="2"/>
        <charset val="204"/>
      </rPr>
      <t>q</t>
    </r>
    <r>
      <rPr>
        <vertAlign val="subscript"/>
        <sz val="10"/>
        <rFont val="Calibri"/>
        <family val="2"/>
      </rPr>
      <t>x</t>
    </r>
    <r>
      <rPr>
        <sz val="10"/>
        <rFont val="Calibri"/>
        <family val="2"/>
        <charset val="204"/>
      </rPr>
      <t xml:space="preserve"> (</t>
    </r>
    <r>
      <rPr>
        <sz val="10"/>
        <rFont val="Arial"/>
        <family val="2"/>
      </rPr>
      <t>‰</t>
    </r>
    <r>
      <rPr>
        <sz val="12"/>
        <rFont val="Calibri"/>
        <family val="2"/>
        <charset val="204"/>
      </rPr>
      <t>)</t>
    </r>
  </si>
  <si>
    <t>entrés</t>
  </si>
  <si>
    <t>sortis</t>
  </si>
  <si>
    <t>total</t>
  </si>
  <si>
    <t>hors c.</t>
  </si>
  <si>
    <t>décès (D)</t>
  </si>
  <si>
    <t>en cmpts</t>
  </si>
  <si>
    <t>Population (P)</t>
  </si>
  <si>
    <r>
      <t>l</t>
    </r>
    <r>
      <rPr>
        <vertAlign val="subscript"/>
        <sz val="10"/>
        <rFont val="Calibri"/>
        <family val="2"/>
        <charset val="204"/>
      </rPr>
      <t>x</t>
    </r>
  </si>
  <si>
    <t>c'est la probabilité de décès associée à la compétion en absence de risque de décès hors compétition</t>
  </si>
  <si>
    <r>
      <t>nette l</t>
    </r>
    <r>
      <rPr>
        <vertAlign val="subscript"/>
        <sz val="8"/>
        <rFont val="Calibri"/>
        <family val="2"/>
        <charset val="204"/>
      </rPr>
      <t>x</t>
    </r>
    <r>
      <rPr>
        <sz val="8"/>
        <rFont val="Calibri"/>
        <family val="2"/>
        <charset val="204"/>
      </rPr>
      <t xml:space="preserve"> linéaire</t>
    </r>
  </si>
  <si>
    <r>
      <t>nette l</t>
    </r>
    <r>
      <rPr>
        <vertAlign val="subscript"/>
        <sz val="8"/>
        <rFont val="Calibri"/>
        <family val="2"/>
        <charset val="204"/>
      </rPr>
      <t>x</t>
    </r>
    <r>
      <rPr>
        <sz val="8"/>
        <rFont val="Calibri"/>
        <family val="2"/>
        <charset val="204"/>
      </rPr>
      <t xml:space="preserve"> exponen</t>
    </r>
  </si>
  <si>
    <r>
      <t xml:space="preserve">nette </t>
    </r>
    <r>
      <rPr>
        <vertAlign val="subscript"/>
        <sz val="8"/>
        <rFont val="Calibri"/>
        <family val="2"/>
        <charset val="204"/>
      </rPr>
      <t>n</t>
    </r>
    <r>
      <rPr>
        <sz val="8"/>
        <rFont val="Calibri"/>
        <family val="2"/>
        <charset val="204"/>
      </rPr>
      <t>q</t>
    </r>
    <r>
      <rPr>
        <vertAlign val="subscript"/>
        <sz val="8"/>
        <rFont val="Calibri"/>
        <family val="2"/>
        <charset val="204"/>
      </rPr>
      <t>x</t>
    </r>
    <r>
      <rPr>
        <sz val="8"/>
        <rFont val="Calibri"/>
        <family val="2"/>
        <charset val="204"/>
      </rPr>
      <t xml:space="preserve"> linéaire</t>
    </r>
  </si>
  <si>
    <r>
      <t xml:space="preserve">nette </t>
    </r>
    <r>
      <rPr>
        <vertAlign val="subscript"/>
        <sz val="8"/>
        <rFont val="Calibri"/>
        <family val="2"/>
        <charset val="204"/>
      </rPr>
      <t>n</t>
    </r>
    <r>
      <rPr>
        <sz val="8"/>
        <rFont val="Calibri"/>
        <family val="2"/>
        <charset val="204"/>
      </rPr>
      <t>q</t>
    </r>
    <r>
      <rPr>
        <vertAlign val="subscript"/>
        <sz val="8"/>
        <rFont val="Calibri"/>
        <family val="2"/>
        <charset val="204"/>
      </rPr>
      <t>x</t>
    </r>
    <r>
      <rPr>
        <sz val="8"/>
        <rFont val="Calibri"/>
        <family val="2"/>
        <charset val="204"/>
      </rPr>
      <t xml:space="preserve"> exponen</t>
    </r>
  </si>
  <si>
    <t>3. Mortalité à cause de tumeur en France : analyse comparative hommes-femmes</t>
  </si>
  <si>
    <t>a) tables des risques combinés (la probabilité de décès à cause d'un tumeur)</t>
  </si>
  <si>
    <t>b) tables de mortalité la tumeur éliminée</t>
  </si>
  <si>
    <t>Mortalité de tumeur (France, 1999 données modifiées)</t>
  </si>
  <si>
    <t>Hommes</t>
  </si>
  <si>
    <t>Décès de</t>
  </si>
  <si>
    <r>
      <t>l</t>
    </r>
    <r>
      <rPr>
        <b/>
        <vertAlign val="subscript"/>
        <sz val="9"/>
        <rFont val="Calibri"/>
        <family val="2"/>
        <charset val="204"/>
        <scheme val="minor"/>
      </rPr>
      <t>x</t>
    </r>
  </si>
  <si>
    <r>
      <rPr>
        <b/>
        <vertAlign val="subscript"/>
        <sz val="9"/>
        <rFont val="Calibri"/>
        <family val="2"/>
        <charset val="204"/>
        <scheme val="minor"/>
      </rPr>
      <t>n</t>
    </r>
    <r>
      <rPr>
        <b/>
        <sz val="9"/>
        <rFont val="Calibri"/>
        <family val="2"/>
        <charset val="204"/>
        <scheme val="minor"/>
      </rPr>
      <t>q</t>
    </r>
    <r>
      <rPr>
        <b/>
        <vertAlign val="subscript"/>
        <sz val="9"/>
        <rFont val="Calibri"/>
        <family val="2"/>
        <charset val="204"/>
        <scheme val="minor"/>
      </rPr>
      <t>x</t>
    </r>
  </si>
  <si>
    <r>
      <rPr>
        <b/>
        <vertAlign val="subscript"/>
        <sz val="9"/>
        <rFont val="Calibri"/>
        <family val="2"/>
        <charset val="204"/>
        <scheme val="minor"/>
      </rPr>
      <t>n</t>
    </r>
    <r>
      <rPr>
        <b/>
        <sz val="9"/>
        <rFont val="Calibri"/>
        <family val="2"/>
        <charset val="204"/>
        <scheme val="minor"/>
      </rPr>
      <t>d</t>
    </r>
    <r>
      <rPr>
        <b/>
        <vertAlign val="subscript"/>
        <sz val="9"/>
        <rFont val="Calibri"/>
        <family val="2"/>
        <charset val="204"/>
        <scheme val="minor"/>
      </rPr>
      <t>x</t>
    </r>
  </si>
  <si>
    <t>Années vecues par</t>
  </si>
  <si>
    <t>taux de mortalité</t>
  </si>
  <si>
    <t>Age</t>
  </si>
  <si>
    <t>cancer</t>
  </si>
  <si>
    <t>Cancer</t>
  </si>
  <si>
    <t>sauf cancer</t>
  </si>
  <si>
    <t>décédés à l'âge x,x+n</t>
  </si>
  <si>
    <t>de table</t>
  </si>
  <si>
    <t>age moyen au décès de tumeur=</t>
  </si>
  <si>
    <t>Femmes</t>
  </si>
  <si>
    <t>Durée de grossesse (début de l'interval)</t>
  </si>
  <si>
    <t>Grossesses en cours (au début de la périod)</t>
  </si>
  <si>
    <t>Pop. Exposée (pers.-sem.)</t>
  </si>
  <si>
    <t>dénominateur</t>
  </si>
  <si>
    <t>Taux de FC</t>
  </si>
  <si>
    <t>Taux de NV</t>
  </si>
  <si>
    <t>Quotient de FC</t>
  </si>
  <si>
    <t>Quotient de NV</t>
  </si>
  <si>
    <t>Taux d'accouch.</t>
  </si>
  <si>
    <t>part de FC</t>
  </si>
  <si>
    <t>Quotient d'accouch.</t>
  </si>
  <si>
    <t>Conversion directe des taux en quotients</t>
  </si>
  <si>
    <t>Repartition proportionnelle des risques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</si>
</sst>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0000"/>
    <numFmt numFmtId="165" formatCode="0.000000"/>
    <numFmt numFmtId="166" formatCode="0.0000"/>
    <numFmt numFmtId="167" formatCode="0.000"/>
    <numFmt numFmtId="168" formatCode="0.0"/>
    <numFmt numFmtId="169" formatCode="#,##0.00000&quot; &quot;"/>
    <numFmt numFmtId="170" formatCode="#,##0.000000&quot; &quot;"/>
    <numFmt numFmtId="171" formatCode="#,##0.00000"/>
    <numFmt numFmtId="172" formatCode="#,##0&quot; &quot;"/>
    <numFmt numFmtId="173" formatCode="#,##0.00&quot; &quot;"/>
  </numFmts>
  <fonts count="27">
    <font>
      <sz val="10"/>
      <name val="Arial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vertAlign val="subscript"/>
      <sz val="10"/>
      <name val="Calibri"/>
      <family val="2"/>
    </font>
    <font>
      <sz val="12"/>
      <name val="Calibri"/>
      <family val="2"/>
      <charset val="204"/>
    </font>
    <font>
      <sz val="10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sz val="8"/>
      <name val="Calibri"/>
      <family val="2"/>
    </font>
    <font>
      <sz val="8"/>
      <name val="Calibri"/>
      <family val="2"/>
      <charset val="204"/>
    </font>
    <font>
      <sz val="8"/>
      <color rgb="FFFF0000"/>
      <name val="Calibri"/>
      <family val="2"/>
      <charset val="204"/>
    </font>
    <font>
      <sz val="10"/>
      <name val="Arial"/>
      <family val="2"/>
      <charset val="204"/>
    </font>
    <font>
      <b/>
      <sz val="12"/>
      <name val="Calibri"/>
      <family val="2"/>
      <charset val="204"/>
    </font>
    <font>
      <sz val="9"/>
      <name val="Calibri"/>
      <family val="2"/>
      <charset val="204"/>
    </font>
    <font>
      <sz val="10"/>
      <color rgb="FF000000"/>
      <name val="Arial Unicode MS"/>
      <family val="2"/>
      <charset val="204"/>
    </font>
    <font>
      <sz val="10"/>
      <color rgb="FFFF0000"/>
      <name val="Arial"/>
      <family val="2"/>
      <charset val="204"/>
    </font>
    <font>
      <vertAlign val="subscript"/>
      <sz val="8"/>
      <name val="Calibri"/>
      <family val="2"/>
      <charset val="204"/>
    </font>
    <font>
      <vertAlign val="subscript"/>
      <sz val="10"/>
      <name val="Calibri"/>
      <family val="2"/>
      <charset val="204"/>
    </font>
    <font>
      <sz val="9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vertAlign val="subscript"/>
      <sz val="9"/>
      <name val="Calibri"/>
      <family val="2"/>
      <charset val="204"/>
      <scheme val="minor"/>
    </font>
    <font>
      <vertAlign val="subscript"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4" fillId="0" borderId="0"/>
    <xf numFmtId="0" fontId="1" fillId="0" borderId="0"/>
  </cellStyleXfs>
  <cellXfs count="116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4" fillId="0" borderId="1" xfId="0" applyFont="1" applyBorder="1"/>
    <xf numFmtId="168" fontId="4" fillId="0" borderId="1" xfId="0" applyNumberFormat="1" applyFont="1" applyBorder="1"/>
    <xf numFmtId="0" fontId="4" fillId="0" borderId="4" xfId="0" applyFont="1" applyBorder="1"/>
    <xf numFmtId="168" fontId="4" fillId="0" borderId="4" xfId="0" applyNumberFormat="1" applyFont="1" applyBorder="1"/>
    <xf numFmtId="1" fontId="4" fillId="0" borderId="4" xfId="0" applyNumberFormat="1" applyFont="1" applyBorder="1"/>
    <xf numFmtId="0" fontId="4" fillId="0" borderId="2" xfId="0" applyFont="1" applyBorder="1"/>
    <xf numFmtId="168" fontId="4" fillId="0" borderId="2" xfId="0" applyNumberFormat="1" applyFont="1" applyBorder="1"/>
    <xf numFmtId="166" fontId="4" fillId="0" borderId="0" xfId="0" applyNumberFormat="1" applyFont="1"/>
    <xf numFmtId="167" fontId="4" fillId="0" borderId="0" xfId="0" applyNumberFormat="1" applyFont="1"/>
    <xf numFmtId="9" fontId="4" fillId="0" borderId="0" xfId="1" applyFont="1"/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" fontId="4" fillId="0" borderId="0" xfId="0" applyNumberFormat="1" applyFont="1"/>
    <xf numFmtId="0" fontId="4" fillId="0" borderId="0" xfId="0" applyFont="1" applyAlignment="1">
      <alignment horizontal="right"/>
    </xf>
    <xf numFmtId="0" fontId="6" fillId="0" borderId="3" xfId="0" applyFont="1" applyBorder="1" applyAlignment="1">
      <alignment horizontal="center"/>
    </xf>
    <xf numFmtId="0" fontId="4" fillId="0" borderId="5" xfId="0" applyFont="1" applyBorder="1"/>
    <xf numFmtId="166" fontId="4" fillId="0" borderId="6" xfId="0" applyNumberFormat="1" applyFont="1" applyBorder="1"/>
    <xf numFmtId="0" fontId="4" fillId="0" borderId="7" xfId="0" applyFont="1" applyBorder="1" applyAlignment="1">
      <alignment horizontal="right"/>
    </xf>
    <xf numFmtId="167" fontId="4" fillId="0" borderId="8" xfId="0" applyNumberFormat="1" applyFont="1" applyBorder="1"/>
    <xf numFmtId="166" fontId="4" fillId="0" borderId="8" xfId="0" applyNumberFormat="1" applyFont="1" applyBorder="1"/>
    <xf numFmtId="0" fontId="8" fillId="0" borderId="0" xfId="0" applyFont="1"/>
    <xf numFmtId="0" fontId="8" fillId="0" borderId="1" xfId="0" applyFont="1" applyBorder="1"/>
    <xf numFmtId="0" fontId="8" fillId="0" borderId="4" xfId="0" applyFont="1" applyBorder="1"/>
    <xf numFmtId="0" fontId="8" fillId="0" borderId="3" xfId="0" applyFont="1" applyBorder="1"/>
    <xf numFmtId="166" fontId="8" fillId="0" borderId="1" xfId="0" applyNumberFormat="1" applyFont="1" applyBorder="1"/>
    <xf numFmtId="167" fontId="8" fillId="0" borderId="1" xfId="0" applyNumberFormat="1" applyFont="1" applyBorder="1"/>
    <xf numFmtId="166" fontId="8" fillId="0" borderId="4" xfId="0" applyNumberFormat="1" applyFont="1" applyBorder="1"/>
    <xf numFmtId="168" fontId="8" fillId="0" borderId="4" xfId="0" applyNumberFormat="1" applyFont="1" applyBorder="1"/>
    <xf numFmtId="167" fontId="8" fillId="0" borderId="4" xfId="0" applyNumberFormat="1" applyFont="1" applyBorder="1"/>
    <xf numFmtId="2" fontId="8" fillId="0" borderId="4" xfId="0" applyNumberFormat="1" applyFont="1" applyBorder="1"/>
    <xf numFmtId="0" fontId="8" fillId="0" borderId="2" xfId="0" applyFont="1" applyBorder="1"/>
    <xf numFmtId="166" fontId="8" fillId="0" borderId="2" xfId="0" applyNumberFormat="1" applyFont="1" applyBorder="1"/>
    <xf numFmtId="168" fontId="8" fillId="0" borderId="2" xfId="0" applyNumberFormat="1" applyFont="1" applyBorder="1"/>
    <xf numFmtId="167" fontId="8" fillId="0" borderId="2" xfId="0" applyNumberFormat="1" applyFont="1" applyBorder="1"/>
    <xf numFmtId="2" fontId="8" fillId="0" borderId="2" xfId="0" applyNumberFormat="1" applyFont="1" applyBorder="1"/>
    <xf numFmtId="0" fontId="9" fillId="0" borderId="3" xfId="0" applyFont="1" applyBorder="1"/>
    <xf numFmtId="10" fontId="8" fillId="0" borderId="0" xfId="1" applyNumberFormat="1" applyFont="1"/>
    <xf numFmtId="0" fontId="8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5" fontId="4" fillId="0" borderId="0" xfId="0" applyNumberFormat="1" applyFont="1"/>
    <xf numFmtId="0" fontId="10" fillId="0" borderId="2" xfId="0" applyFont="1" applyBorder="1" applyAlignment="1">
      <alignment horizontal="center" wrapText="1"/>
    </xf>
    <xf numFmtId="164" fontId="4" fillId="0" borderId="0" xfId="0" applyNumberFormat="1" applyFont="1"/>
    <xf numFmtId="0" fontId="12" fillId="0" borderId="0" xfId="0" applyFont="1"/>
    <xf numFmtId="0" fontId="15" fillId="0" borderId="0" xfId="2" applyFont="1"/>
    <xf numFmtId="0" fontId="7" fillId="0" borderId="0" xfId="2" applyFont="1"/>
    <xf numFmtId="0" fontId="11" fillId="0" borderId="4" xfId="0" applyFont="1" applyBorder="1" applyAlignment="1">
      <alignment horizontal="center" wrapText="1"/>
    </xf>
    <xf numFmtId="0" fontId="12" fillId="0" borderId="3" xfId="0" applyFont="1" applyBorder="1" applyAlignment="1">
      <alignment horizontal="center"/>
    </xf>
    <xf numFmtId="164" fontId="12" fillId="0" borderId="1" xfId="0" applyNumberFormat="1" applyFont="1" applyBorder="1"/>
    <xf numFmtId="164" fontId="12" fillId="0" borderId="4" xfId="0" applyNumberFormat="1" applyFont="1" applyBorder="1"/>
    <xf numFmtId="164" fontId="12" fillId="2" borderId="4" xfId="0" applyNumberFormat="1" applyFont="1" applyFill="1" applyBorder="1"/>
    <xf numFmtId="164" fontId="12" fillId="0" borderId="2" xfId="0" applyNumberFormat="1" applyFont="1" applyBorder="1"/>
    <xf numFmtId="0" fontId="13" fillId="0" borderId="1" xfId="0" applyFont="1" applyBorder="1"/>
    <xf numFmtId="0" fontId="12" fillId="0" borderId="4" xfId="0" applyFont="1" applyBorder="1"/>
    <xf numFmtId="0" fontId="13" fillId="0" borderId="2" xfId="0" applyFont="1" applyBorder="1"/>
    <xf numFmtId="164" fontId="13" fillId="0" borderId="0" xfId="0" applyNumberFormat="1" applyFont="1"/>
    <xf numFmtId="0" fontId="13" fillId="0" borderId="0" xfId="0" applyFont="1" applyAlignment="1">
      <alignment horizontal="center"/>
    </xf>
    <xf numFmtId="0" fontId="16" fillId="0" borderId="1" xfId="0" applyFont="1" applyBorder="1"/>
    <xf numFmtId="0" fontId="16" fillId="0" borderId="4" xfId="0" applyFont="1" applyBorder="1"/>
    <xf numFmtId="1" fontId="16" fillId="0" borderId="4" xfId="0" applyNumberFormat="1" applyFont="1" applyBorder="1"/>
    <xf numFmtId="168" fontId="16" fillId="0" borderId="4" xfId="0" applyNumberFormat="1" applyFont="1" applyBorder="1"/>
    <xf numFmtId="168" fontId="16" fillId="0" borderId="2" xfId="0" applyNumberFormat="1" applyFont="1" applyBorder="1"/>
    <xf numFmtId="0" fontId="17" fillId="0" borderId="0" xfId="0" applyFont="1" applyAlignment="1">
      <alignment vertical="center"/>
    </xf>
    <xf numFmtId="16" fontId="0" fillId="0" borderId="0" xfId="0" applyNumberFormat="1"/>
    <xf numFmtId="17" fontId="0" fillId="0" borderId="0" xfId="0" applyNumberFormat="1"/>
    <xf numFmtId="164" fontId="0" fillId="0" borderId="0" xfId="0" applyNumberFormat="1"/>
    <xf numFmtId="0" fontId="18" fillId="0" borderId="0" xfId="0" applyFont="1"/>
    <xf numFmtId="164" fontId="18" fillId="0" borderId="0" xfId="0" applyNumberFormat="1" applyFont="1"/>
    <xf numFmtId="0" fontId="16" fillId="0" borderId="3" xfId="0" applyFont="1" applyBorder="1" applyAlignment="1">
      <alignment horizontal="center"/>
    </xf>
    <xf numFmtId="0" fontId="16" fillId="0" borderId="0" xfId="0" applyFont="1" applyAlignment="1">
      <alignment horizontal="right"/>
    </xf>
    <xf numFmtId="0" fontId="4" fillId="0" borderId="9" xfId="0" applyFont="1" applyBorder="1"/>
    <xf numFmtId="0" fontId="4" fillId="0" borderId="11" xfId="0" applyFont="1" applyBorder="1"/>
    <xf numFmtId="0" fontId="4" fillId="0" borderId="10" xfId="0" applyFont="1" applyBorder="1"/>
    <xf numFmtId="0" fontId="21" fillId="0" borderId="0" xfId="3" applyFont="1"/>
    <xf numFmtId="0" fontId="21" fillId="0" borderId="0" xfId="3" applyFont="1" applyAlignment="1">
      <alignment vertical="center"/>
    </xf>
    <xf numFmtId="0" fontId="22" fillId="0" borderId="0" xfId="3" applyFont="1"/>
    <xf numFmtId="0" fontId="21" fillId="0" borderId="1" xfId="3" applyFont="1" applyBorder="1"/>
    <xf numFmtId="0" fontId="23" fillId="0" borderId="1" xfId="3" applyFont="1" applyBorder="1" applyAlignment="1">
      <alignment horizontal="center"/>
    </xf>
    <xf numFmtId="0" fontId="21" fillId="0" borderId="1" xfId="3" applyFont="1" applyBorder="1" applyAlignment="1">
      <alignment horizontal="center"/>
    </xf>
    <xf numFmtId="0" fontId="21" fillId="0" borderId="2" xfId="3" applyFont="1" applyBorder="1"/>
    <xf numFmtId="0" fontId="21" fillId="0" borderId="2" xfId="3" applyFont="1" applyBorder="1" applyAlignment="1">
      <alignment horizontal="center"/>
    </xf>
    <xf numFmtId="0" fontId="25" fillId="0" borderId="0" xfId="3" applyFont="1" applyAlignment="1">
      <alignment horizontal="center"/>
    </xf>
    <xf numFmtId="3" fontId="21" fillId="0" borderId="0" xfId="3" applyNumberFormat="1" applyFont="1"/>
    <xf numFmtId="169" fontId="21" fillId="0" borderId="0" xfId="3" applyNumberFormat="1" applyFont="1" applyAlignment="1">
      <alignment vertical="center"/>
    </xf>
    <xf numFmtId="164" fontId="21" fillId="0" borderId="0" xfId="3" applyNumberFormat="1" applyFont="1"/>
    <xf numFmtId="1" fontId="21" fillId="0" borderId="0" xfId="3" applyNumberFormat="1" applyFont="1"/>
    <xf numFmtId="170" fontId="21" fillId="0" borderId="0" xfId="3" applyNumberFormat="1" applyFont="1" applyAlignment="1">
      <alignment horizontal="right" vertical="center"/>
    </xf>
    <xf numFmtId="171" fontId="22" fillId="0" borderId="0" xfId="3" applyNumberFormat="1" applyFont="1"/>
    <xf numFmtId="3" fontId="22" fillId="0" borderId="0" xfId="3" applyNumberFormat="1" applyFont="1"/>
    <xf numFmtId="167" fontId="22" fillId="0" borderId="0" xfId="3" applyNumberFormat="1" applyFont="1"/>
    <xf numFmtId="0" fontId="21" fillId="0" borderId="0" xfId="3" applyFont="1" applyAlignment="1">
      <alignment horizontal="right"/>
    </xf>
    <xf numFmtId="172" fontId="21" fillId="0" borderId="0" xfId="3" applyNumberFormat="1" applyFont="1"/>
    <xf numFmtId="169" fontId="21" fillId="0" borderId="0" xfId="3" applyNumberFormat="1" applyFont="1"/>
    <xf numFmtId="9" fontId="21" fillId="0" borderId="0" xfId="1" applyFont="1" applyProtection="1"/>
    <xf numFmtId="2" fontId="21" fillId="0" borderId="0" xfId="3" applyNumberFormat="1" applyFont="1"/>
    <xf numFmtId="0" fontId="26" fillId="0" borderId="0" xfId="3" applyFont="1" applyAlignment="1">
      <alignment horizontal="center"/>
    </xf>
    <xf numFmtId="172" fontId="26" fillId="0" borderId="0" xfId="3" applyNumberFormat="1" applyFont="1" applyAlignment="1">
      <alignment horizontal="right" vertical="center"/>
    </xf>
    <xf numFmtId="173" fontId="26" fillId="0" borderId="0" xfId="3" applyNumberFormat="1" applyFont="1" applyAlignment="1">
      <alignment horizontal="right" vertical="center"/>
    </xf>
    <xf numFmtId="165" fontId="22" fillId="0" borderId="0" xfId="3" applyNumberFormat="1" applyFont="1"/>
    <xf numFmtId="169" fontId="22" fillId="0" borderId="0" xfId="3" applyNumberFormat="1" applyFont="1"/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164" fontId="8" fillId="0" borderId="0" xfId="0" applyNumberFormat="1" applyFont="1"/>
    <xf numFmtId="166" fontId="8" fillId="0" borderId="0" xfId="0" applyNumberFormat="1" applyFont="1"/>
    <xf numFmtId="167" fontId="5" fillId="0" borderId="0" xfId="0" applyNumberFormat="1" applyFont="1"/>
    <xf numFmtId="0" fontId="8" fillId="0" borderId="0" xfId="0" applyFont="1" applyAlignment="1">
      <alignment horizontal="center" wrapText="1"/>
    </xf>
    <xf numFmtId="2" fontId="8" fillId="0" borderId="1" xfId="0" applyNumberFormat="1" applyFont="1" applyBorder="1"/>
  </cellXfs>
  <cellStyles count="4">
    <cellStyle name="Normal" xfId="0" builtinId="0"/>
    <cellStyle name="Normal 2" xfId="2" xr:uid="{00000000-0005-0000-0000-000002000000}"/>
    <cellStyle name="Normal 3" xfId="3" xr:uid="{0DD95BBD-39AD-4C22-A6CC-8F1456A35F10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0"/>
  <sheetViews>
    <sheetView tabSelected="1" workbookViewId="0">
      <selection activeCell="G29" sqref="G29"/>
    </sheetView>
  </sheetViews>
  <sheetFormatPr baseColWidth="10" defaultColWidth="11.36328125" defaultRowHeight="15.5"/>
  <cols>
    <col min="1" max="16384" width="11.36328125" style="51"/>
  </cols>
  <sheetData>
    <row r="2" spans="2:2">
      <c r="B2" s="50" t="s">
        <v>59</v>
      </c>
    </row>
    <row r="4" spans="2:2">
      <c r="B4" s="51" t="s">
        <v>87</v>
      </c>
    </row>
    <row r="6" spans="2:2">
      <c r="B6" s="51" t="s">
        <v>88</v>
      </c>
    </row>
    <row r="8" spans="2:2">
      <c r="B8" s="51" t="s">
        <v>109</v>
      </c>
    </row>
    <row r="9" spans="2:2">
      <c r="B9" s="51" t="s">
        <v>110</v>
      </c>
    </row>
    <row r="10" spans="2:2">
      <c r="B10" s="51" t="s">
        <v>111</v>
      </c>
    </row>
  </sheetData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D30"/>
  <sheetViews>
    <sheetView topLeftCell="D1" zoomScale="120" workbookViewId="0">
      <selection activeCell="W25" sqref="W25"/>
    </sheetView>
  </sheetViews>
  <sheetFormatPr baseColWidth="10" defaultColWidth="11.36328125" defaultRowHeight="13"/>
  <cols>
    <col min="1" max="1" width="11.1796875" style="25" customWidth="1"/>
    <col min="2" max="2" width="7" style="25" customWidth="1"/>
    <col min="3" max="3" width="7.6328125" style="25" customWidth="1"/>
    <col min="4" max="4" width="6.81640625" style="25" customWidth="1"/>
    <col min="5" max="5" width="9.6328125" style="25" customWidth="1"/>
    <col min="6" max="6" width="10.54296875" style="25" customWidth="1"/>
    <col min="7" max="8" width="9.36328125" style="25" customWidth="1"/>
    <col min="9" max="9" width="9.1796875" style="25" customWidth="1"/>
    <col min="10" max="10" width="8.26953125" style="25" customWidth="1"/>
    <col min="11" max="11" width="7.7265625" style="25" customWidth="1"/>
    <col min="12" max="12" width="10.1796875" style="25" customWidth="1"/>
    <col min="13" max="13" width="7.1796875" style="25" customWidth="1"/>
    <col min="14" max="14" width="9.90625" style="25" customWidth="1"/>
    <col min="15" max="16" width="8.1796875" style="25" customWidth="1"/>
    <col min="17" max="17" width="8.6328125" style="25" customWidth="1"/>
    <col min="18" max="18" width="9.26953125" style="25" customWidth="1"/>
    <col min="19" max="21" width="8.54296875" style="25" customWidth="1"/>
    <col min="22" max="22" width="6.1796875" style="25" customWidth="1"/>
    <col min="23" max="23" width="8.6328125" style="25" customWidth="1"/>
    <col min="24" max="24" width="7.08984375" style="25" customWidth="1"/>
    <col min="25" max="25" width="9.1796875" style="25" customWidth="1"/>
    <col min="26" max="27" width="11.36328125" style="25"/>
    <col min="28" max="30" width="8.453125" style="25" customWidth="1"/>
    <col min="31" max="16384" width="11.36328125" style="25"/>
  </cols>
  <sheetData>
    <row r="2" spans="1:30">
      <c r="A2" s="25" t="s">
        <v>22</v>
      </c>
      <c r="P2" s="25" t="s">
        <v>139</v>
      </c>
      <c r="Z2" s="25" t="s">
        <v>140</v>
      </c>
    </row>
    <row r="3" spans="1:30">
      <c r="A3" s="25" t="s">
        <v>4</v>
      </c>
    </row>
    <row r="4" spans="1:30">
      <c r="A4" s="43"/>
      <c r="B4" s="43"/>
      <c r="C4" s="43"/>
      <c r="D4" s="43"/>
      <c r="E4" s="43"/>
      <c r="F4" s="43"/>
      <c r="G4" s="43"/>
      <c r="H4" s="106" t="s">
        <v>5</v>
      </c>
      <c r="I4" s="107"/>
      <c r="J4" s="106" t="s">
        <v>6</v>
      </c>
      <c r="K4" s="108"/>
      <c r="L4" s="107"/>
      <c r="S4" s="106" t="s">
        <v>6</v>
      </c>
      <c r="T4" s="108"/>
      <c r="U4" s="107"/>
      <c r="AB4" s="106" t="s">
        <v>6</v>
      </c>
      <c r="AC4" s="108"/>
      <c r="AD4" s="107"/>
    </row>
    <row r="5" spans="1:30" ht="39">
      <c r="A5" s="52" t="s">
        <v>128</v>
      </c>
      <c r="B5" s="44" t="s">
        <v>7</v>
      </c>
      <c r="C5" s="44" t="s">
        <v>8</v>
      </c>
      <c r="D5" s="44" t="s">
        <v>9</v>
      </c>
      <c r="E5" s="47" t="s">
        <v>44</v>
      </c>
      <c r="F5" s="52" t="s">
        <v>129</v>
      </c>
      <c r="G5" s="44" t="s">
        <v>61</v>
      </c>
      <c r="H5" s="45" t="s">
        <v>44</v>
      </c>
      <c r="I5" s="45" t="s">
        <v>0</v>
      </c>
      <c r="J5" s="45" t="s">
        <v>45</v>
      </c>
      <c r="K5" s="45" t="s">
        <v>0</v>
      </c>
      <c r="L5" s="45" t="s">
        <v>44</v>
      </c>
      <c r="N5" s="114" t="s">
        <v>130</v>
      </c>
      <c r="O5" s="114" t="s">
        <v>132</v>
      </c>
      <c r="P5" s="114" t="s">
        <v>133</v>
      </c>
      <c r="Q5" s="114" t="s">
        <v>134</v>
      </c>
      <c r="R5" s="114" t="s">
        <v>135</v>
      </c>
      <c r="S5" s="45" t="s">
        <v>45</v>
      </c>
      <c r="T5" s="45" t="s">
        <v>0</v>
      </c>
      <c r="U5" s="45" t="s">
        <v>44</v>
      </c>
      <c r="W5" s="114" t="s">
        <v>136</v>
      </c>
      <c r="X5" s="114" t="s">
        <v>137</v>
      </c>
      <c r="Y5" s="114" t="s">
        <v>138</v>
      </c>
      <c r="Z5" s="114" t="s">
        <v>134</v>
      </c>
      <c r="AA5" s="114" t="s">
        <v>135</v>
      </c>
      <c r="AB5" s="45" t="s">
        <v>45</v>
      </c>
      <c r="AC5" s="45" t="s">
        <v>0</v>
      </c>
      <c r="AD5" s="45" t="s">
        <v>44</v>
      </c>
    </row>
    <row r="6" spans="1:30">
      <c r="A6" s="42" t="s">
        <v>10</v>
      </c>
      <c r="B6" s="42" t="s">
        <v>11</v>
      </c>
      <c r="C6" s="42" t="s">
        <v>12</v>
      </c>
      <c r="D6" s="42" t="s">
        <v>13</v>
      </c>
      <c r="E6" s="42" t="s">
        <v>14</v>
      </c>
      <c r="F6" s="42" t="s">
        <v>15</v>
      </c>
      <c r="G6" s="42" t="s">
        <v>62</v>
      </c>
      <c r="H6" s="42" t="s">
        <v>16</v>
      </c>
      <c r="I6" s="42" t="s">
        <v>17</v>
      </c>
      <c r="J6" s="42" t="s">
        <v>18</v>
      </c>
      <c r="K6" s="42" t="s">
        <v>19</v>
      </c>
      <c r="L6" s="42" t="s">
        <v>20</v>
      </c>
      <c r="N6" s="25" t="s">
        <v>131</v>
      </c>
      <c r="S6" s="42" t="s">
        <v>18</v>
      </c>
      <c r="T6" s="42" t="s">
        <v>19</v>
      </c>
      <c r="U6" s="42" t="s">
        <v>20</v>
      </c>
      <c r="AB6" s="42" t="s">
        <v>18</v>
      </c>
      <c r="AC6" s="42" t="s">
        <v>19</v>
      </c>
      <c r="AD6" s="42" t="s">
        <v>20</v>
      </c>
    </row>
    <row r="7" spans="1:30">
      <c r="A7" s="26">
        <v>4</v>
      </c>
      <c r="B7" s="26">
        <v>592</v>
      </c>
      <c r="C7" s="26">
        <v>32</v>
      </c>
      <c r="D7" s="26">
        <v>0</v>
      </c>
      <c r="E7" s="26">
        <v>0</v>
      </c>
      <c r="F7" s="26">
        <v>0</v>
      </c>
      <c r="G7" s="26">
        <f>F7-0.5*D7+0.5*B7</f>
        <v>296</v>
      </c>
      <c r="H7" s="26">
        <f t="shared" ref="H7:H16" si="0">E7/G7</f>
        <v>0</v>
      </c>
      <c r="I7" s="29">
        <f t="shared" ref="I7:I16" si="1">C7/G7</f>
        <v>0.10810810810810811</v>
      </c>
      <c r="J7" s="26">
        <v>1000</v>
      </c>
      <c r="K7" s="30">
        <f t="shared" ref="K7:K16" si="2">J7*I7</f>
        <v>108.10810810810811</v>
      </c>
      <c r="L7" s="26">
        <f t="shared" ref="L7:L16" si="3">J7*H7</f>
        <v>0</v>
      </c>
      <c r="N7" s="25">
        <f>(F7+F8)*0.5*4</f>
        <v>1120</v>
      </c>
      <c r="O7" s="111">
        <f>C7/N7</f>
        <v>2.8571428571428571E-2</v>
      </c>
      <c r="P7" s="111">
        <f>E7/N7</f>
        <v>0</v>
      </c>
      <c r="Q7" s="112">
        <f>(4*O7)/(1+2*O7)</f>
        <v>0.1081081081081081</v>
      </c>
      <c r="R7" s="25">
        <f>(4*P7)/(1+2*P7)</f>
        <v>0</v>
      </c>
      <c r="S7" s="115">
        <v>1000</v>
      </c>
      <c r="T7" s="30">
        <f>S7*Q7</f>
        <v>108.1081081081081</v>
      </c>
      <c r="U7" s="115">
        <f>S7*R7</f>
        <v>0</v>
      </c>
      <c r="W7" s="111">
        <f>(C7+E7)/N7</f>
        <v>2.8571428571428571E-2</v>
      </c>
      <c r="X7" s="25">
        <f>C7/(C7+E7)</f>
        <v>1</v>
      </c>
      <c r="Y7" s="112">
        <f>(4*W7)/(1+2*W7)</f>
        <v>0.1081081081081081</v>
      </c>
      <c r="Z7" s="112">
        <f>Y7*X7</f>
        <v>0.1081081081081081</v>
      </c>
      <c r="AA7" s="112">
        <f>Y7*(1-X7)</f>
        <v>0</v>
      </c>
      <c r="AB7" s="26">
        <v>1000</v>
      </c>
      <c r="AC7" s="30">
        <f>AB7*Z7</f>
        <v>108.1081081081081</v>
      </c>
      <c r="AD7" s="26">
        <f>AB7*AA7</f>
        <v>0</v>
      </c>
    </row>
    <row r="8" spans="1:30">
      <c r="A8" s="27">
        <f t="shared" ref="A8:A16" si="4">A7+4</f>
        <v>8</v>
      </c>
      <c r="B8" s="27">
        <v>941</v>
      </c>
      <c r="C8" s="27">
        <v>72</v>
      </c>
      <c r="D8" s="27">
        <v>1</v>
      </c>
      <c r="E8" s="27">
        <v>0</v>
      </c>
      <c r="F8" s="27">
        <f>B7-C7-D7-E7</f>
        <v>560</v>
      </c>
      <c r="G8" s="27">
        <f>F8-0.5*D8+0.5*B8</f>
        <v>1030</v>
      </c>
      <c r="H8" s="27">
        <f t="shared" si="0"/>
        <v>0</v>
      </c>
      <c r="I8" s="31">
        <f t="shared" si="1"/>
        <v>6.9902912621359226E-2</v>
      </c>
      <c r="J8" s="32">
        <f t="shared" ref="J8:J16" si="5">J7-K7-L7</f>
        <v>891.89189189189187</v>
      </c>
      <c r="K8" s="33">
        <f t="shared" si="2"/>
        <v>62.345840986617688</v>
      </c>
      <c r="L8" s="27">
        <f t="shared" si="3"/>
        <v>0</v>
      </c>
      <c r="N8" s="25">
        <f t="shared" ref="N8:N16" si="6">(F8+F9)*0.5*4</f>
        <v>3976</v>
      </c>
      <c r="O8" s="111">
        <f t="shared" ref="O8:O16" si="7">C8/N8</f>
        <v>1.8108651911468814E-2</v>
      </c>
      <c r="P8" s="111">
        <f t="shared" ref="P8:P16" si="8">E8/N8</f>
        <v>0</v>
      </c>
      <c r="Q8" s="112">
        <f>(4*O8)/(1+2*O8)</f>
        <v>6.9902912621359226E-2</v>
      </c>
      <c r="R8" s="25">
        <f t="shared" ref="R8:R16" si="9">(4*P8)/(1+2*P8)</f>
        <v>0</v>
      </c>
      <c r="S8" s="33">
        <f>S7-T7-U7</f>
        <v>891.89189189189187</v>
      </c>
      <c r="T8" s="33">
        <f t="shared" ref="T8:T16" si="10">S8*Q8</f>
        <v>62.345840986617688</v>
      </c>
      <c r="U8" s="34">
        <f t="shared" ref="U8:U16" si="11">S8*R8</f>
        <v>0</v>
      </c>
      <c r="W8" s="111">
        <f t="shared" ref="W8:W16" si="12">(C8+E8)/N8</f>
        <v>1.8108651911468814E-2</v>
      </c>
      <c r="X8" s="25">
        <f t="shared" ref="X8:X16" si="13">C8/(C8+E8)</f>
        <v>1</v>
      </c>
      <c r="Y8" s="112">
        <f t="shared" ref="Y8:Y16" si="14">(4*W8)/(1+2*W8)</f>
        <v>6.9902912621359226E-2</v>
      </c>
      <c r="Z8" s="112">
        <f t="shared" ref="Z8:Z16" si="15">Y8*X8</f>
        <v>6.9902912621359226E-2</v>
      </c>
      <c r="AA8" s="112">
        <f t="shared" ref="AA8:AA16" si="16">Y8*(1-X8)</f>
        <v>0</v>
      </c>
      <c r="AB8" s="33">
        <f>AB7*(1-Y7)</f>
        <v>891.89189189189187</v>
      </c>
      <c r="AC8" s="33">
        <f t="shared" ref="AC8:AC16" si="17">AB8*Z8</f>
        <v>62.345840986617688</v>
      </c>
      <c r="AD8" s="27">
        <f t="shared" ref="AD8:AD16" si="18">AB8*AA8</f>
        <v>0</v>
      </c>
    </row>
    <row r="9" spans="1:30">
      <c r="A9" s="27">
        <f t="shared" si="4"/>
        <v>12</v>
      </c>
      <c r="B9" s="27">
        <v>585</v>
      </c>
      <c r="C9" s="27">
        <v>77</v>
      </c>
      <c r="D9" s="27">
        <v>2</v>
      </c>
      <c r="E9" s="27">
        <v>0</v>
      </c>
      <c r="F9" s="27">
        <f>F8+B8-C8-D8-E8</f>
        <v>1428</v>
      </c>
      <c r="G9" s="27">
        <f t="shared" ref="G9:G15" si="19">F9-0.5*D9+0.5*B9</f>
        <v>1719.5</v>
      </c>
      <c r="H9" s="27">
        <f t="shared" si="0"/>
        <v>0</v>
      </c>
      <c r="I9" s="31">
        <f t="shared" si="1"/>
        <v>4.4780459435882526E-2</v>
      </c>
      <c r="J9" s="32">
        <f t="shared" si="5"/>
        <v>829.54605090527423</v>
      </c>
      <c r="K9" s="33">
        <f t="shared" si="2"/>
        <v>37.147453282760175</v>
      </c>
      <c r="L9" s="27">
        <f t="shared" si="3"/>
        <v>0</v>
      </c>
      <c r="N9" s="25">
        <f t="shared" si="6"/>
        <v>6724</v>
      </c>
      <c r="O9" s="111">
        <f t="shared" si="7"/>
        <v>1.1451516954193932E-2</v>
      </c>
      <c r="P9" s="111">
        <f t="shared" si="8"/>
        <v>0</v>
      </c>
      <c r="Q9" s="112">
        <f>(4*O9)/(1+2*O9)</f>
        <v>4.4780459435882526E-2</v>
      </c>
      <c r="R9" s="25">
        <f t="shared" si="9"/>
        <v>0</v>
      </c>
      <c r="S9" s="33">
        <f t="shared" ref="S9:S16" si="20">S8-T8-U8</f>
        <v>829.54605090527423</v>
      </c>
      <c r="T9" s="33">
        <f t="shared" si="10"/>
        <v>37.147453282760175</v>
      </c>
      <c r="U9" s="34">
        <f t="shared" si="11"/>
        <v>0</v>
      </c>
      <c r="W9" s="111">
        <f t="shared" si="12"/>
        <v>1.1451516954193932E-2</v>
      </c>
      <c r="X9" s="25">
        <f t="shared" si="13"/>
        <v>1</v>
      </c>
      <c r="Y9" s="112">
        <f t="shared" si="14"/>
        <v>4.4780459435882526E-2</v>
      </c>
      <c r="Z9" s="112">
        <f t="shared" si="15"/>
        <v>4.4780459435882526E-2</v>
      </c>
      <c r="AA9" s="112">
        <f t="shared" si="16"/>
        <v>0</v>
      </c>
      <c r="AB9" s="33">
        <f t="shared" ref="AB9:AB16" si="21">AB8*(1-Y8)</f>
        <v>829.54605090527411</v>
      </c>
      <c r="AC9" s="33">
        <f t="shared" si="17"/>
        <v>37.147453282760168</v>
      </c>
      <c r="AD9" s="27">
        <f t="shared" si="18"/>
        <v>0</v>
      </c>
    </row>
    <row r="10" spans="1:30">
      <c r="A10" s="27">
        <f t="shared" si="4"/>
        <v>16</v>
      </c>
      <c r="B10" s="27">
        <v>337</v>
      </c>
      <c r="C10" s="27">
        <v>28</v>
      </c>
      <c r="D10" s="27">
        <v>2</v>
      </c>
      <c r="E10" s="27">
        <v>0</v>
      </c>
      <c r="F10" s="27">
        <f t="shared" ref="F10:F16" si="22">F9+B9-C9-D9-E9</f>
        <v>1934</v>
      </c>
      <c r="G10" s="27">
        <f t="shared" si="19"/>
        <v>2101.5</v>
      </c>
      <c r="H10" s="27">
        <f t="shared" si="0"/>
        <v>0</v>
      </c>
      <c r="I10" s="31">
        <f t="shared" si="1"/>
        <v>1.3323816321674994E-2</v>
      </c>
      <c r="J10" s="32">
        <f t="shared" si="5"/>
        <v>792.3985976225141</v>
      </c>
      <c r="K10" s="33">
        <f t="shared" si="2"/>
        <v>10.55777336827523</v>
      </c>
      <c r="L10" s="27">
        <f t="shared" si="3"/>
        <v>0</v>
      </c>
      <c r="N10" s="25">
        <f t="shared" si="6"/>
        <v>8350</v>
      </c>
      <c r="O10" s="111">
        <f t="shared" si="7"/>
        <v>3.3532934131736527E-3</v>
      </c>
      <c r="P10" s="111">
        <f t="shared" si="8"/>
        <v>0</v>
      </c>
      <c r="Q10" s="112">
        <f>(4*O10)/(1+2*O10)</f>
        <v>1.3323816321674993E-2</v>
      </c>
      <c r="R10" s="25">
        <f t="shared" si="9"/>
        <v>0</v>
      </c>
      <c r="S10" s="33">
        <f t="shared" si="20"/>
        <v>792.3985976225141</v>
      </c>
      <c r="T10" s="33">
        <f t="shared" si="10"/>
        <v>10.557773368275228</v>
      </c>
      <c r="U10" s="34">
        <f t="shared" si="11"/>
        <v>0</v>
      </c>
      <c r="W10" s="111">
        <f t="shared" si="12"/>
        <v>3.3532934131736527E-3</v>
      </c>
      <c r="X10" s="25">
        <f t="shared" si="13"/>
        <v>1</v>
      </c>
      <c r="Y10" s="112">
        <f t="shared" si="14"/>
        <v>1.3323816321674993E-2</v>
      </c>
      <c r="Z10" s="112">
        <f t="shared" si="15"/>
        <v>1.3323816321674993E-2</v>
      </c>
      <c r="AA10" s="112">
        <f t="shared" si="16"/>
        <v>0</v>
      </c>
      <c r="AB10" s="33">
        <f t="shared" si="21"/>
        <v>792.39859762251399</v>
      </c>
      <c r="AC10" s="33">
        <f t="shared" si="17"/>
        <v>10.557773368275226</v>
      </c>
      <c r="AD10" s="27">
        <f t="shared" si="18"/>
        <v>0</v>
      </c>
    </row>
    <row r="11" spans="1:30">
      <c r="A11" s="27">
        <f t="shared" si="4"/>
        <v>20</v>
      </c>
      <c r="B11" s="27">
        <v>248</v>
      </c>
      <c r="C11" s="27">
        <v>20</v>
      </c>
      <c r="D11" s="27">
        <v>9</v>
      </c>
      <c r="E11" s="27">
        <v>1</v>
      </c>
      <c r="F11" s="27">
        <f t="shared" si="22"/>
        <v>2241</v>
      </c>
      <c r="G11" s="27">
        <f t="shared" si="19"/>
        <v>2360.5</v>
      </c>
      <c r="H11" s="27">
        <f t="shared" si="0"/>
        <v>4.2363905952128787E-4</v>
      </c>
      <c r="I11" s="31">
        <f t="shared" si="1"/>
        <v>8.4727811904257572E-3</v>
      </c>
      <c r="J11" s="32">
        <f t="shared" si="5"/>
        <v>781.8408242542389</v>
      </c>
      <c r="K11" s="33">
        <f t="shared" si="2"/>
        <v>6.6243662296482855</v>
      </c>
      <c r="L11" s="34">
        <f t="shared" si="3"/>
        <v>0.33121831148241426</v>
      </c>
      <c r="N11" s="25">
        <f t="shared" si="6"/>
        <v>9400</v>
      </c>
      <c r="O11" s="111">
        <f t="shared" si="7"/>
        <v>2.1276595744680851E-3</v>
      </c>
      <c r="P11" s="111">
        <f t="shared" si="8"/>
        <v>1.0638297872340425E-4</v>
      </c>
      <c r="Q11" s="112">
        <f>(4*O11)/(1+2*O11)</f>
        <v>8.4745762711864424E-3</v>
      </c>
      <c r="R11" s="111">
        <f t="shared" si="9"/>
        <v>4.2544139544777704E-4</v>
      </c>
      <c r="S11" s="33">
        <f t="shared" si="20"/>
        <v>781.8408242542389</v>
      </c>
      <c r="T11" s="33">
        <f t="shared" si="10"/>
        <v>6.6257696970698223</v>
      </c>
      <c r="U11" s="34">
        <f t="shared" si="11"/>
        <v>0.33262745128876359</v>
      </c>
      <c r="W11" s="111">
        <f t="shared" si="12"/>
        <v>2.2340425531914895E-3</v>
      </c>
      <c r="X11" s="25">
        <f t="shared" si="13"/>
        <v>0.95238095238095233</v>
      </c>
      <c r="Y11" s="112">
        <f t="shared" si="14"/>
        <v>8.8964202499470461E-3</v>
      </c>
      <c r="Z11" s="112">
        <f t="shared" si="15"/>
        <v>8.4727811904257572E-3</v>
      </c>
      <c r="AA11" s="112">
        <f t="shared" si="16"/>
        <v>4.2363905952128836E-4</v>
      </c>
      <c r="AB11" s="33">
        <f t="shared" si="21"/>
        <v>781.84082425423878</v>
      </c>
      <c r="AC11" s="33">
        <f t="shared" si="17"/>
        <v>6.6243662296482846</v>
      </c>
      <c r="AD11" s="27">
        <f t="shared" si="18"/>
        <v>0.3312183114824146</v>
      </c>
    </row>
    <row r="12" spans="1:30">
      <c r="A12" s="27">
        <f t="shared" si="4"/>
        <v>24</v>
      </c>
      <c r="B12" s="27">
        <v>175</v>
      </c>
      <c r="C12" s="27">
        <v>8</v>
      </c>
      <c r="D12" s="27">
        <v>6</v>
      </c>
      <c r="E12" s="27">
        <v>4</v>
      </c>
      <c r="F12" s="27">
        <f t="shared" si="22"/>
        <v>2459</v>
      </c>
      <c r="G12" s="27">
        <f t="shared" si="19"/>
        <v>2543.5</v>
      </c>
      <c r="H12" s="27">
        <f t="shared" si="0"/>
        <v>1.5726361313151171E-3</v>
      </c>
      <c r="I12" s="31">
        <f t="shared" si="1"/>
        <v>3.1452722626302341E-3</v>
      </c>
      <c r="J12" s="32">
        <f t="shared" si="5"/>
        <v>774.88523971310815</v>
      </c>
      <c r="K12" s="33">
        <f t="shared" si="2"/>
        <v>2.437225051191219</v>
      </c>
      <c r="L12" s="34">
        <f t="shared" si="3"/>
        <v>1.2186125255956095</v>
      </c>
      <c r="N12" s="25">
        <f t="shared" si="6"/>
        <v>10150</v>
      </c>
      <c r="O12" s="111">
        <f t="shared" si="7"/>
        <v>7.8817733990147788E-4</v>
      </c>
      <c r="P12" s="111">
        <f t="shared" si="8"/>
        <v>3.9408866995073894E-4</v>
      </c>
      <c r="Q12" s="112">
        <f>(4*O12)/(1+2*O12)</f>
        <v>3.1477473932716902E-3</v>
      </c>
      <c r="R12" s="111">
        <f t="shared" si="9"/>
        <v>1.5751132112620597E-3</v>
      </c>
      <c r="S12" s="33">
        <f t="shared" si="20"/>
        <v>774.88242710588031</v>
      </c>
      <c r="T12" s="33">
        <f t="shared" si="10"/>
        <v>2.4391341400145752</v>
      </c>
      <c r="U12" s="34">
        <f t="shared" si="11"/>
        <v>1.2205275481092821</v>
      </c>
      <c r="W12" s="111">
        <f t="shared" si="12"/>
        <v>1.1822660098522167E-3</v>
      </c>
      <c r="X12" s="25">
        <f t="shared" si="13"/>
        <v>0.66666666666666663</v>
      </c>
      <c r="Y12" s="112">
        <f t="shared" si="14"/>
        <v>4.717908393945351E-3</v>
      </c>
      <c r="Z12" s="112">
        <f t="shared" si="15"/>
        <v>3.1452722626302337E-3</v>
      </c>
      <c r="AA12" s="112">
        <f t="shared" si="16"/>
        <v>1.5726361313151171E-3</v>
      </c>
      <c r="AB12" s="33">
        <f t="shared" si="21"/>
        <v>774.88523971310804</v>
      </c>
      <c r="AC12" s="33">
        <f t="shared" si="17"/>
        <v>2.4372250511912181</v>
      </c>
      <c r="AD12" s="27">
        <f t="shared" si="18"/>
        <v>1.2186125255956093</v>
      </c>
    </row>
    <row r="13" spans="1:30">
      <c r="A13" s="27">
        <f t="shared" si="4"/>
        <v>28</v>
      </c>
      <c r="B13" s="27">
        <v>98</v>
      </c>
      <c r="C13" s="27">
        <v>8</v>
      </c>
      <c r="D13" s="27">
        <v>4</v>
      </c>
      <c r="E13" s="27">
        <v>25</v>
      </c>
      <c r="F13" s="27">
        <f t="shared" si="22"/>
        <v>2616</v>
      </c>
      <c r="G13" s="27">
        <f t="shared" si="19"/>
        <v>2663</v>
      </c>
      <c r="H13" s="27">
        <f t="shared" si="0"/>
        <v>9.3879083740142696E-3</v>
      </c>
      <c r="I13" s="31">
        <f t="shared" si="1"/>
        <v>3.0041306796845663E-3</v>
      </c>
      <c r="J13" s="32">
        <f t="shared" si="5"/>
        <v>771.22940213632126</v>
      </c>
      <c r="K13" s="33">
        <f t="shared" si="2"/>
        <v>2.3168739080325085</v>
      </c>
      <c r="L13" s="34">
        <f t="shared" si="3"/>
        <v>7.240230962601589</v>
      </c>
      <c r="N13" s="25">
        <f t="shared" si="6"/>
        <v>10586</v>
      </c>
      <c r="O13" s="111">
        <f t="shared" si="7"/>
        <v>7.5571509540903084E-4</v>
      </c>
      <c r="P13" s="111">
        <f t="shared" si="8"/>
        <v>2.3616096731532213E-3</v>
      </c>
      <c r="Q13" s="112">
        <f>(4*O13)/(1+2*O13)</f>
        <v>3.0182984342576871E-3</v>
      </c>
      <c r="R13" s="111">
        <f t="shared" si="9"/>
        <v>9.4020308386611514E-3</v>
      </c>
      <c r="S13" s="33">
        <f t="shared" si="20"/>
        <v>771.22276541775636</v>
      </c>
      <c r="T13" s="33">
        <f t="shared" si="10"/>
        <v>2.3277804653242975</v>
      </c>
      <c r="U13" s="34">
        <f t="shared" si="11"/>
        <v>7.2510602239352799</v>
      </c>
      <c r="W13" s="111">
        <f t="shared" si="12"/>
        <v>3.1173247685622519E-3</v>
      </c>
      <c r="X13" s="25">
        <f t="shared" si="13"/>
        <v>0.24242424242424243</v>
      </c>
      <c r="Y13" s="112">
        <f t="shared" si="14"/>
        <v>1.2392039053698834E-2</v>
      </c>
      <c r="Z13" s="112">
        <f t="shared" si="15"/>
        <v>3.0041306796845658E-3</v>
      </c>
      <c r="AA13" s="112">
        <f t="shared" si="16"/>
        <v>9.3879083740142678E-3</v>
      </c>
      <c r="AB13" s="33">
        <f t="shared" si="21"/>
        <v>771.22940213632114</v>
      </c>
      <c r="AC13" s="33">
        <f t="shared" si="17"/>
        <v>2.3168739080325076</v>
      </c>
      <c r="AD13" s="27">
        <f t="shared" si="18"/>
        <v>7.2402309626015864</v>
      </c>
    </row>
    <row r="14" spans="1:30">
      <c r="A14" s="27">
        <f t="shared" si="4"/>
        <v>32</v>
      </c>
      <c r="B14" s="27">
        <v>67</v>
      </c>
      <c r="C14" s="27">
        <v>8</v>
      </c>
      <c r="D14" s="27">
        <v>6</v>
      </c>
      <c r="E14" s="27">
        <v>72</v>
      </c>
      <c r="F14" s="27">
        <f t="shared" si="22"/>
        <v>2677</v>
      </c>
      <c r="G14" s="27">
        <f t="shared" si="19"/>
        <v>2707.5</v>
      </c>
      <c r="H14" s="27">
        <f t="shared" si="0"/>
        <v>2.6592797783933517E-2</v>
      </c>
      <c r="I14" s="31">
        <f t="shared" si="1"/>
        <v>2.9547553093259462E-3</v>
      </c>
      <c r="J14" s="32">
        <f t="shared" si="5"/>
        <v>761.67229726568712</v>
      </c>
      <c r="K14" s="33">
        <f t="shared" si="2"/>
        <v>2.2505552643122795</v>
      </c>
      <c r="L14" s="34">
        <f t="shared" si="3"/>
        <v>20.254997378810515</v>
      </c>
      <c r="N14" s="25">
        <f t="shared" si="6"/>
        <v>10670</v>
      </c>
      <c r="O14" s="111">
        <f t="shared" si="7"/>
        <v>7.4976569821930648E-4</v>
      </c>
      <c r="P14" s="111">
        <f t="shared" si="8"/>
        <v>6.7478912839737584E-3</v>
      </c>
      <c r="Q14" s="112">
        <f>(4*O14)/(1+2*O14)</f>
        <v>2.9945723376380313E-3</v>
      </c>
      <c r="R14" s="111">
        <f t="shared" si="9"/>
        <v>2.6632143517662289E-2</v>
      </c>
      <c r="S14" s="33">
        <f t="shared" si="20"/>
        <v>761.64392472849681</v>
      </c>
      <c r="T14" s="33">
        <f t="shared" si="10"/>
        <v>2.2807978281220196</v>
      </c>
      <c r="U14" s="34">
        <f t="shared" si="11"/>
        <v>20.284210312724902</v>
      </c>
      <c r="W14" s="111">
        <f t="shared" si="12"/>
        <v>7.4976569821930648E-3</v>
      </c>
      <c r="X14" s="25">
        <f t="shared" si="13"/>
        <v>0.1</v>
      </c>
      <c r="Y14" s="112">
        <f t="shared" si="14"/>
        <v>2.9547553093259463E-2</v>
      </c>
      <c r="Z14" s="112">
        <f t="shared" si="15"/>
        <v>2.9547553093259467E-3</v>
      </c>
      <c r="AA14" s="112">
        <f t="shared" si="16"/>
        <v>2.6592797783933517E-2</v>
      </c>
      <c r="AB14" s="33">
        <f t="shared" si="21"/>
        <v>761.67229726568712</v>
      </c>
      <c r="AC14" s="33">
        <f t="shared" si="17"/>
        <v>2.2505552643122799</v>
      </c>
      <c r="AD14" s="27">
        <f t="shared" si="18"/>
        <v>20.254997378810515</v>
      </c>
    </row>
    <row r="15" spans="1:30">
      <c r="A15" s="27">
        <f t="shared" si="4"/>
        <v>36</v>
      </c>
      <c r="B15" s="27">
        <v>40</v>
      </c>
      <c r="C15" s="27">
        <v>9</v>
      </c>
      <c r="D15" s="27">
        <v>3</v>
      </c>
      <c r="E15" s="27">
        <v>1074</v>
      </c>
      <c r="F15" s="27">
        <f t="shared" si="22"/>
        <v>2658</v>
      </c>
      <c r="G15" s="27">
        <f t="shared" si="19"/>
        <v>2676.5</v>
      </c>
      <c r="H15" s="27">
        <f t="shared" si="0"/>
        <v>0.40127031571081634</v>
      </c>
      <c r="I15" s="31">
        <f t="shared" si="1"/>
        <v>3.3626004109844946E-3</v>
      </c>
      <c r="J15" s="32">
        <f t="shared" si="5"/>
        <v>739.16674462256424</v>
      </c>
      <c r="K15" s="33">
        <f t="shared" si="2"/>
        <v>2.4855223992539055</v>
      </c>
      <c r="L15" s="34">
        <f t="shared" si="3"/>
        <v>296.60567297763271</v>
      </c>
      <c r="N15" s="25">
        <f t="shared" si="6"/>
        <v>8540</v>
      </c>
      <c r="O15" s="111">
        <f t="shared" si="7"/>
        <v>1.053864168618267E-3</v>
      </c>
      <c r="P15" s="111">
        <f t="shared" si="8"/>
        <v>0.12576112412177987</v>
      </c>
      <c r="Q15" s="112">
        <f>(4*O15)/(1+2*O15)</f>
        <v>4.2065903248422526E-3</v>
      </c>
      <c r="R15" s="111">
        <f t="shared" si="9"/>
        <v>0.40194610778443113</v>
      </c>
      <c r="S15" s="33">
        <f t="shared" si="20"/>
        <v>739.07891658764993</v>
      </c>
      <c r="T15" s="33">
        <f t="shared" si="10"/>
        <v>3.1090022198125022</v>
      </c>
      <c r="U15" s="34">
        <f t="shared" si="11"/>
        <v>297.0698938679401</v>
      </c>
      <c r="W15" s="111">
        <f t="shared" si="12"/>
        <v>0.12681498829039814</v>
      </c>
      <c r="X15" s="25">
        <f t="shared" si="13"/>
        <v>8.3102493074792248E-3</v>
      </c>
      <c r="Y15" s="112">
        <f t="shared" si="14"/>
        <v>0.40463291612180086</v>
      </c>
      <c r="Z15" s="112">
        <f t="shared" si="15"/>
        <v>3.362600410984495E-3</v>
      </c>
      <c r="AA15" s="112">
        <f t="shared" si="16"/>
        <v>0.40127031571081634</v>
      </c>
      <c r="AB15" s="33">
        <f t="shared" si="21"/>
        <v>739.16674462256424</v>
      </c>
      <c r="AC15" s="33">
        <f t="shared" si="17"/>
        <v>2.4855223992539059</v>
      </c>
      <c r="AD15" s="27">
        <f t="shared" si="18"/>
        <v>296.60567297763271</v>
      </c>
    </row>
    <row r="16" spans="1:30">
      <c r="A16" s="35">
        <f t="shared" si="4"/>
        <v>40</v>
      </c>
      <c r="B16" s="35">
        <v>0</v>
      </c>
      <c r="C16" s="35">
        <v>11</v>
      </c>
      <c r="D16" s="35">
        <v>0</v>
      </c>
      <c r="E16" s="35">
        <v>1601</v>
      </c>
      <c r="F16" s="35">
        <f t="shared" si="22"/>
        <v>1612</v>
      </c>
      <c r="G16" s="35">
        <f>F16-0.5*D16+0.5*B16</f>
        <v>1612</v>
      </c>
      <c r="H16" s="35">
        <f t="shared" si="0"/>
        <v>0.99317617866004959</v>
      </c>
      <c r="I16" s="36">
        <f t="shared" si="1"/>
        <v>6.8238213399503724E-3</v>
      </c>
      <c r="J16" s="37">
        <f t="shared" si="5"/>
        <v>440.07554924567762</v>
      </c>
      <c r="K16" s="38">
        <f t="shared" si="2"/>
        <v>3.0029969241330359</v>
      </c>
      <c r="L16" s="39">
        <f t="shared" si="3"/>
        <v>437.07255232154455</v>
      </c>
      <c r="N16" s="25">
        <f t="shared" si="6"/>
        <v>3224</v>
      </c>
      <c r="O16" s="111">
        <f t="shared" si="7"/>
        <v>3.4119106699751862E-3</v>
      </c>
      <c r="P16" s="111">
        <f t="shared" si="8"/>
        <v>0.4965880893300248</v>
      </c>
      <c r="Q16" s="112">
        <f>(4*O16)/(1+2*O16)</f>
        <v>1.3555144793592116E-2</v>
      </c>
      <c r="R16" s="111">
        <f t="shared" si="9"/>
        <v>0.99657640834111427</v>
      </c>
      <c r="S16" s="38">
        <f t="shared" si="20"/>
        <v>438.90002049989732</v>
      </c>
      <c r="T16" s="38">
        <f t="shared" si="10"/>
        <v>5.9493533277866559</v>
      </c>
      <c r="U16" s="39">
        <f t="shared" si="11"/>
        <v>437.39740605062912</v>
      </c>
      <c r="W16" s="25">
        <f t="shared" si="12"/>
        <v>0.5</v>
      </c>
      <c r="X16" s="25">
        <f t="shared" si="13"/>
        <v>6.8238213399503724E-3</v>
      </c>
      <c r="Y16" s="112">
        <f t="shared" si="14"/>
        <v>1</v>
      </c>
      <c r="Z16" s="112">
        <f t="shared" si="15"/>
        <v>6.8238213399503724E-3</v>
      </c>
      <c r="AA16" s="112">
        <f t="shared" si="16"/>
        <v>0.99317617866004959</v>
      </c>
      <c r="AB16" s="38">
        <f t="shared" si="21"/>
        <v>440.07554924567762</v>
      </c>
      <c r="AC16" s="38">
        <f t="shared" si="17"/>
        <v>3.0029969241330359</v>
      </c>
      <c r="AD16" s="35">
        <f t="shared" si="18"/>
        <v>437.07255232154455</v>
      </c>
    </row>
    <row r="17" spans="1:30">
      <c r="A17" s="28" t="s">
        <v>21</v>
      </c>
      <c r="B17" s="28">
        <f>SUM(B7:B16)</f>
        <v>3083</v>
      </c>
      <c r="C17" s="28">
        <f>SUM(C7:C16)</f>
        <v>273</v>
      </c>
      <c r="D17" s="28">
        <f>SUM(D7:D16)</f>
        <v>33</v>
      </c>
      <c r="E17" s="28">
        <f>SUM(E7:E16)</f>
        <v>2777</v>
      </c>
      <c r="F17" s="28"/>
      <c r="G17" s="28"/>
      <c r="H17" s="28"/>
      <c r="I17" s="28"/>
      <c r="J17" s="28"/>
      <c r="K17" s="40">
        <f>SUM(K7:K16)</f>
        <v>237.27671552233244</v>
      </c>
      <c r="L17" s="40">
        <f>SUM(L7:L16)</f>
        <v>762.72328447766745</v>
      </c>
      <c r="T17" s="113">
        <f>SUM(T7:T16)</f>
        <v>240.89101342389108</v>
      </c>
      <c r="U17" s="113">
        <f>SUM(U7:U16)</f>
        <v>763.55572545462746</v>
      </c>
      <c r="AC17" s="113">
        <f>SUM(AC7:AC16)</f>
        <v>237.27671552233241</v>
      </c>
      <c r="AD17" s="113">
        <f>SUM(AD7:AD16)</f>
        <v>762.72328447766745</v>
      </c>
    </row>
    <row r="18" spans="1:30">
      <c r="E18" s="25">
        <f>E17+C17</f>
        <v>3050</v>
      </c>
      <c r="K18" s="41">
        <f>C17/E18</f>
        <v>8.9508196721311481E-2</v>
      </c>
      <c r="L18" s="41">
        <f>E17/E18</f>
        <v>0.91049180327868851</v>
      </c>
    </row>
    <row r="19" spans="1:30">
      <c r="K19" s="41"/>
    </row>
    <row r="20" spans="1:30">
      <c r="B20" s="25" t="s">
        <v>60</v>
      </c>
    </row>
    <row r="21" spans="1:30">
      <c r="B21" s="25" t="s">
        <v>39</v>
      </c>
    </row>
    <row r="22" spans="1:30">
      <c r="B22" s="25" t="s">
        <v>41</v>
      </c>
    </row>
    <row r="23" spans="1:30">
      <c r="B23" s="25" t="s">
        <v>40</v>
      </c>
    </row>
    <row r="24" spans="1:30">
      <c r="B24" s="25" t="s">
        <v>42</v>
      </c>
    </row>
    <row r="25" spans="1:30">
      <c r="C25" s="25" t="s">
        <v>43</v>
      </c>
    </row>
    <row r="26" spans="1:30">
      <c r="C26" s="25" t="s">
        <v>64</v>
      </c>
    </row>
    <row r="29" spans="1:30">
      <c r="C29" s="25" t="s">
        <v>46</v>
      </c>
    </row>
    <row r="30" spans="1:30">
      <c r="C30" s="25" t="s">
        <v>63</v>
      </c>
    </row>
  </sheetData>
  <mergeCells count="4">
    <mergeCell ref="H4:I4"/>
    <mergeCell ref="J4:L4"/>
    <mergeCell ref="S4:U4"/>
    <mergeCell ref="AB4:AD4"/>
  </mergeCells>
  <phoneticPr fontId="2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C35"/>
  <sheetViews>
    <sheetView zoomScale="120" workbookViewId="0">
      <selection activeCell="Q12" sqref="Q12"/>
    </sheetView>
  </sheetViews>
  <sheetFormatPr baseColWidth="10" defaultColWidth="9.1796875" defaultRowHeight="13"/>
  <cols>
    <col min="1" max="1" width="3.26953125" style="1" customWidth="1"/>
    <col min="2" max="2" width="5.36328125" style="1" customWidth="1"/>
    <col min="3" max="4" width="6" style="1" customWidth="1"/>
    <col min="5" max="7" width="7" style="1" customWidth="1"/>
    <col min="8" max="8" width="6.6328125" style="1" customWidth="1"/>
    <col min="9" max="9" width="7" style="1" customWidth="1"/>
    <col min="10" max="10" width="7.26953125" style="1" customWidth="1"/>
    <col min="11" max="11" width="7" style="1" customWidth="1"/>
    <col min="12" max="13" width="7.36328125" style="1" customWidth="1"/>
    <col min="14" max="14" width="7.1796875" style="1" customWidth="1"/>
    <col min="15" max="15" width="5.81640625" style="1" customWidth="1"/>
    <col min="16" max="17" width="7.81640625" style="1" customWidth="1"/>
    <col min="18" max="18" width="7.36328125" style="1" customWidth="1"/>
    <col min="19" max="19" width="6.36328125" style="1" customWidth="1"/>
    <col min="20" max="20" width="5.7265625" style="1" customWidth="1"/>
    <col min="21" max="21" width="5" style="1" customWidth="1"/>
    <col min="22" max="23" width="6.26953125" style="1" customWidth="1"/>
    <col min="24" max="25" width="6.1796875" style="1" customWidth="1"/>
    <col min="26" max="29" width="5.54296875" style="1" customWidth="1"/>
    <col min="30" max="16384" width="9.1796875" style="1"/>
  </cols>
  <sheetData>
    <row r="1" spans="2:29">
      <c r="B1" s="1" t="s">
        <v>23</v>
      </c>
      <c r="H1" s="1" t="s">
        <v>29</v>
      </c>
    </row>
    <row r="2" spans="2:29">
      <c r="B2" s="1" t="s">
        <v>1</v>
      </c>
      <c r="H2" s="1" t="s">
        <v>26</v>
      </c>
      <c r="S2" s="2" t="s">
        <v>58</v>
      </c>
    </row>
    <row r="3" spans="2:29">
      <c r="B3" s="1" t="s">
        <v>2</v>
      </c>
      <c r="H3" s="1" t="s">
        <v>25</v>
      </c>
      <c r="R3" s="1" t="s">
        <v>57</v>
      </c>
    </row>
    <row r="4" spans="2:29">
      <c r="C4" s="1" t="s">
        <v>27</v>
      </c>
    </row>
    <row r="5" spans="2:29" ht="13.5">
      <c r="C5" s="76" t="s">
        <v>102</v>
      </c>
      <c r="D5" s="78"/>
      <c r="E5" s="76"/>
      <c r="F5" s="77" t="s">
        <v>100</v>
      </c>
      <c r="G5" s="78"/>
      <c r="J5" s="1" t="s">
        <v>28</v>
      </c>
      <c r="Q5" s="49"/>
      <c r="R5" s="109" t="s">
        <v>49</v>
      </c>
      <c r="S5" s="110"/>
      <c r="T5" s="109" t="s">
        <v>52</v>
      </c>
      <c r="U5" s="110"/>
      <c r="V5" s="109" t="s">
        <v>107</v>
      </c>
      <c r="W5" s="110"/>
      <c r="X5" s="109" t="s">
        <v>108</v>
      </c>
      <c r="Y5" s="110"/>
      <c r="Z5" s="109" t="s">
        <v>105</v>
      </c>
      <c r="AA5" s="110"/>
      <c r="AB5" s="109" t="s">
        <v>106</v>
      </c>
      <c r="AC5" s="110"/>
    </row>
    <row r="6" spans="2:29" ht="16">
      <c r="B6" s="74" t="s">
        <v>3</v>
      </c>
      <c r="C6" s="74" t="s">
        <v>96</v>
      </c>
      <c r="D6" s="74" t="s">
        <v>97</v>
      </c>
      <c r="E6" s="74" t="s">
        <v>98</v>
      </c>
      <c r="F6" s="74" t="s">
        <v>101</v>
      </c>
      <c r="G6" s="74" t="s">
        <v>99</v>
      </c>
      <c r="H6" s="3"/>
      <c r="I6" s="14" t="s">
        <v>3</v>
      </c>
      <c r="J6" s="14" t="s">
        <v>91</v>
      </c>
      <c r="K6" s="14" t="s">
        <v>92</v>
      </c>
      <c r="L6" s="74" t="s">
        <v>93</v>
      </c>
      <c r="M6" s="14" t="s">
        <v>90</v>
      </c>
      <c r="N6" s="19" t="s">
        <v>95</v>
      </c>
      <c r="O6" s="14" t="s">
        <v>94</v>
      </c>
      <c r="P6" s="14" t="s">
        <v>103</v>
      </c>
      <c r="Q6" s="62" t="s">
        <v>48</v>
      </c>
      <c r="R6" s="53" t="s">
        <v>50</v>
      </c>
      <c r="S6" s="53" t="s">
        <v>51</v>
      </c>
      <c r="T6" s="53" t="s">
        <v>53</v>
      </c>
      <c r="U6" s="53" t="s">
        <v>54</v>
      </c>
      <c r="V6" s="53" t="s">
        <v>53</v>
      </c>
      <c r="W6" s="53" t="s">
        <v>54</v>
      </c>
      <c r="X6" s="53" t="s">
        <v>53</v>
      </c>
      <c r="Y6" s="53" t="s">
        <v>54</v>
      </c>
      <c r="Z6" s="53" t="s">
        <v>53</v>
      </c>
      <c r="AA6" s="53" t="s">
        <v>54</v>
      </c>
      <c r="AB6" s="53" t="s">
        <v>53</v>
      </c>
      <c r="AC6" s="53" t="s">
        <v>54</v>
      </c>
    </row>
    <row r="7" spans="2:29">
      <c r="B7" s="4">
        <v>20</v>
      </c>
      <c r="C7" s="4">
        <v>10</v>
      </c>
      <c r="D7" s="4">
        <v>0</v>
      </c>
      <c r="E7" s="4">
        <f t="shared" ref="E7:E12" si="0">F7+G7</f>
        <v>0</v>
      </c>
      <c r="F7" s="4">
        <v>0</v>
      </c>
      <c r="G7" s="4">
        <v>0</v>
      </c>
      <c r="H7" s="3"/>
      <c r="I7" s="4">
        <v>20</v>
      </c>
      <c r="J7" s="4">
        <v>0</v>
      </c>
      <c r="K7" s="4">
        <f t="shared" ref="K7:K12" si="1">J7+C7-D7-E7</f>
        <v>10</v>
      </c>
      <c r="L7" s="4">
        <f>J7+0.5*(K7-D7)</f>
        <v>5</v>
      </c>
      <c r="M7" s="4">
        <f t="shared" ref="M7:M12" si="2">E7</f>
        <v>0</v>
      </c>
      <c r="N7" s="5">
        <f t="shared" ref="N7:N12" si="3">1000*M7/(J7+0.5*C7-0.5*D7)</f>
        <v>0</v>
      </c>
      <c r="O7" s="4">
        <f t="shared" ref="O7:O12" si="4">P7*(N7/1000)</f>
        <v>0</v>
      </c>
      <c r="P7" s="4">
        <v>1000</v>
      </c>
      <c r="Q7" s="61">
        <f t="shared" ref="Q7:Q12" si="5">2*M7/(5*(J7+K7))</f>
        <v>0</v>
      </c>
      <c r="R7" s="54">
        <f t="shared" ref="R7:R12" si="6">1-EXP(-Q7*5)</f>
        <v>0</v>
      </c>
      <c r="S7" s="54">
        <f t="shared" ref="S7:S12" si="7">(2*5*Q7)/(2+Q7*5)</f>
        <v>0</v>
      </c>
      <c r="T7" s="58">
        <v>0</v>
      </c>
      <c r="U7" s="58">
        <v>0</v>
      </c>
      <c r="V7" s="54">
        <f t="shared" ref="V7:V12" si="8">1-(1-S7)^T7</f>
        <v>0</v>
      </c>
      <c r="W7" s="54">
        <f t="shared" ref="W7:W12" si="9">1-(1-S7)^U7</f>
        <v>0</v>
      </c>
      <c r="X7" s="54">
        <f t="shared" ref="X7:X12" si="10">1-(1-R7)^T7</f>
        <v>0</v>
      </c>
      <c r="Y7" s="54">
        <f t="shared" ref="Y7:Y12" si="11">1-(1-R7)^U7</f>
        <v>0</v>
      </c>
      <c r="Z7" s="63">
        <v>1000</v>
      </c>
      <c r="AA7" s="63">
        <v>1000</v>
      </c>
      <c r="AB7" s="63">
        <v>1000</v>
      </c>
      <c r="AC7" s="63">
        <v>1000</v>
      </c>
    </row>
    <row r="8" spans="2:29">
      <c r="B8" s="6">
        <f>B7+5</f>
        <v>25</v>
      </c>
      <c r="C8" s="6">
        <v>100</v>
      </c>
      <c r="D8" s="6">
        <v>20</v>
      </c>
      <c r="E8" s="6">
        <f t="shared" si="0"/>
        <v>4</v>
      </c>
      <c r="F8" s="6">
        <v>4</v>
      </c>
      <c r="G8" s="6">
        <v>0</v>
      </c>
      <c r="H8" s="3"/>
      <c r="I8" s="6">
        <f>I7+5</f>
        <v>25</v>
      </c>
      <c r="J8" s="6">
        <f>J7+C7</f>
        <v>10</v>
      </c>
      <c r="K8" s="6">
        <f t="shared" si="1"/>
        <v>86</v>
      </c>
      <c r="L8" s="6">
        <f>J8+0.5*(C8-D8)</f>
        <v>50</v>
      </c>
      <c r="M8" s="6">
        <f t="shared" si="2"/>
        <v>4</v>
      </c>
      <c r="N8" s="7">
        <f t="shared" si="3"/>
        <v>80</v>
      </c>
      <c r="O8" s="6">
        <f t="shared" si="4"/>
        <v>80</v>
      </c>
      <c r="P8" s="6">
        <f>P7-O7</f>
        <v>1000</v>
      </c>
      <c r="Q8" s="61">
        <f t="shared" si="5"/>
        <v>1.6666666666666666E-2</v>
      </c>
      <c r="R8" s="55">
        <f t="shared" si="6"/>
        <v>7.9955585370676707E-2</v>
      </c>
      <c r="S8" s="55">
        <f t="shared" si="7"/>
        <v>7.9999999999999988E-2</v>
      </c>
      <c r="T8" s="59">
        <f>F8/E8</f>
        <v>1</v>
      </c>
      <c r="U8" s="59">
        <f>G8/E8</f>
        <v>0</v>
      </c>
      <c r="V8" s="55">
        <f t="shared" si="8"/>
        <v>7.999999999999996E-2</v>
      </c>
      <c r="W8" s="55">
        <f t="shared" si="9"/>
        <v>0</v>
      </c>
      <c r="X8" s="56">
        <f t="shared" si="10"/>
        <v>7.9955585370676707E-2</v>
      </c>
      <c r="Y8" s="55">
        <f t="shared" si="11"/>
        <v>0</v>
      </c>
      <c r="Z8" s="64">
        <f>Z7*(1-V7)</f>
        <v>1000</v>
      </c>
      <c r="AA8" s="64">
        <f t="shared" ref="AA8:AC12" si="12">AA7*(1-W7)</f>
        <v>1000</v>
      </c>
      <c r="AB8" s="64">
        <f t="shared" si="12"/>
        <v>1000</v>
      </c>
      <c r="AC8" s="64">
        <f t="shared" si="12"/>
        <v>1000</v>
      </c>
    </row>
    <row r="9" spans="2:29">
      <c r="B9" s="6">
        <f>B8+5</f>
        <v>30</v>
      </c>
      <c r="C9" s="6">
        <v>206</v>
      </c>
      <c r="D9" s="6">
        <v>18</v>
      </c>
      <c r="E9" s="6">
        <f t="shared" si="0"/>
        <v>9</v>
      </c>
      <c r="F9" s="6">
        <v>8</v>
      </c>
      <c r="G9" s="6">
        <v>1</v>
      </c>
      <c r="H9" s="3"/>
      <c r="I9" s="6">
        <f>I8+5</f>
        <v>30</v>
      </c>
      <c r="J9" s="6">
        <f>J8+C8-D8-E8</f>
        <v>86</v>
      </c>
      <c r="K9" s="6">
        <f t="shared" si="1"/>
        <v>265</v>
      </c>
      <c r="L9" s="7">
        <f>J9+0.5*(C9-D9)</f>
        <v>180</v>
      </c>
      <c r="M9" s="6">
        <f t="shared" si="2"/>
        <v>9</v>
      </c>
      <c r="N9" s="7">
        <f t="shared" si="3"/>
        <v>50</v>
      </c>
      <c r="O9" s="8">
        <f t="shared" si="4"/>
        <v>46</v>
      </c>
      <c r="P9" s="8">
        <f>P8-O8</f>
        <v>920</v>
      </c>
      <c r="Q9" s="61">
        <f t="shared" si="5"/>
        <v>1.0256410256410256E-2</v>
      </c>
      <c r="R9" s="55">
        <f t="shared" si="6"/>
        <v>4.9989318989731912E-2</v>
      </c>
      <c r="S9" s="55">
        <f t="shared" si="7"/>
        <v>0.05</v>
      </c>
      <c r="T9" s="59">
        <f>F9/E9</f>
        <v>0.88888888888888884</v>
      </c>
      <c r="U9" s="59">
        <f>G9/E9</f>
        <v>0.1111111111111111</v>
      </c>
      <c r="V9" s="55">
        <f t="shared" si="8"/>
        <v>4.4570249746389234E-2</v>
      </c>
      <c r="W9" s="55">
        <f t="shared" si="9"/>
        <v>5.6830449880480582E-3</v>
      </c>
      <c r="X9" s="56">
        <f t="shared" si="10"/>
        <v>4.4560701256472268E-2</v>
      </c>
      <c r="Y9" s="55">
        <f t="shared" si="11"/>
        <v>5.6818028527805264E-3</v>
      </c>
      <c r="Z9" s="64">
        <f t="shared" ref="Z9:Z12" si="13">Z8*(1-V8)</f>
        <v>920</v>
      </c>
      <c r="AA9" s="64">
        <f t="shared" si="12"/>
        <v>1000</v>
      </c>
      <c r="AB9" s="65">
        <f t="shared" si="12"/>
        <v>920.04441462932334</v>
      </c>
      <c r="AC9" s="64">
        <f t="shared" si="12"/>
        <v>1000</v>
      </c>
    </row>
    <row r="10" spans="2:29">
      <c r="B10" s="6">
        <f>B9+5</f>
        <v>35</v>
      </c>
      <c r="C10" s="6">
        <v>10</v>
      </c>
      <c r="D10" s="6">
        <v>40</v>
      </c>
      <c r="E10" s="6">
        <f t="shared" si="0"/>
        <v>7</v>
      </c>
      <c r="F10" s="6">
        <v>6</v>
      </c>
      <c r="G10" s="6">
        <v>1</v>
      </c>
      <c r="H10" s="3"/>
      <c r="I10" s="6">
        <f>I9+5</f>
        <v>35</v>
      </c>
      <c r="J10" s="6">
        <f>J9+C9-D9-E9</f>
        <v>265</v>
      </c>
      <c r="K10" s="6">
        <f t="shared" si="1"/>
        <v>228</v>
      </c>
      <c r="L10" s="7">
        <f>J10+0.5*(C10-D10)</f>
        <v>250</v>
      </c>
      <c r="M10" s="6">
        <f t="shared" si="2"/>
        <v>7</v>
      </c>
      <c r="N10" s="7">
        <f t="shared" si="3"/>
        <v>28</v>
      </c>
      <c r="O10" s="7">
        <f t="shared" si="4"/>
        <v>24.472000000000001</v>
      </c>
      <c r="P10" s="7">
        <f>P9-O9</f>
        <v>874</v>
      </c>
      <c r="Q10" s="61">
        <f t="shared" si="5"/>
        <v>5.6795131845841784E-3</v>
      </c>
      <c r="R10" s="55">
        <f t="shared" si="6"/>
        <v>2.7998144840218342E-2</v>
      </c>
      <c r="S10" s="55">
        <f t="shared" si="7"/>
        <v>2.7999999999999997E-2</v>
      </c>
      <c r="T10" s="59">
        <f>F10/E10</f>
        <v>0.8571428571428571</v>
      </c>
      <c r="U10" s="59">
        <f>G10/E10</f>
        <v>0.14285714285714285</v>
      </c>
      <c r="V10" s="55">
        <f t="shared" si="8"/>
        <v>2.4048519817836178E-2</v>
      </c>
      <c r="W10" s="55">
        <f t="shared" si="9"/>
        <v>4.0488490077664752E-3</v>
      </c>
      <c r="X10" s="55">
        <f t="shared" si="10"/>
        <v>2.4046923216700322E-2</v>
      </c>
      <c r="Y10" s="55">
        <f t="shared" si="11"/>
        <v>4.0485774547082132E-3</v>
      </c>
      <c r="Z10" s="66">
        <f t="shared" si="13"/>
        <v>878.99537023332186</v>
      </c>
      <c r="AA10" s="66">
        <f t="shared" si="12"/>
        <v>994.3169550119519</v>
      </c>
      <c r="AB10" s="66">
        <f t="shared" si="12"/>
        <v>879.04659032634015</v>
      </c>
      <c r="AC10" s="66">
        <f t="shared" si="12"/>
        <v>994.31819714721951</v>
      </c>
    </row>
    <row r="11" spans="2:29">
      <c r="B11" s="6">
        <f>B10+5</f>
        <v>40</v>
      </c>
      <c r="C11" s="6">
        <v>0</v>
      </c>
      <c r="D11" s="6">
        <v>136</v>
      </c>
      <c r="E11" s="6">
        <f t="shared" si="0"/>
        <v>4</v>
      </c>
      <c r="F11" s="6">
        <v>3</v>
      </c>
      <c r="G11" s="6">
        <v>1</v>
      </c>
      <c r="H11" s="3"/>
      <c r="I11" s="6">
        <f>I10+5</f>
        <v>40</v>
      </c>
      <c r="J11" s="6">
        <f>J10+C10-D10-E10</f>
        <v>228</v>
      </c>
      <c r="K11" s="6">
        <f t="shared" si="1"/>
        <v>88</v>
      </c>
      <c r="L11" s="6">
        <f>J11+0.5*(C11-D11)</f>
        <v>160</v>
      </c>
      <c r="M11" s="6">
        <f t="shared" si="2"/>
        <v>4</v>
      </c>
      <c r="N11" s="7">
        <f t="shared" si="3"/>
        <v>25</v>
      </c>
      <c r="O11" s="7">
        <f t="shared" si="4"/>
        <v>21.238200000000003</v>
      </c>
      <c r="P11" s="7">
        <f>P10-O10</f>
        <v>849.52800000000002</v>
      </c>
      <c r="Q11" s="61">
        <f t="shared" si="5"/>
        <v>5.0632911392405064E-3</v>
      </c>
      <c r="R11" s="55">
        <f t="shared" si="6"/>
        <v>2.4998681518223376E-2</v>
      </c>
      <c r="S11" s="55">
        <f t="shared" si="7"/>
        <v>2.4999999999999998E-2</v>
      </c>
      <c r="T11" s="59">
        <f>F11/E11</f>
        <v>0.75</v>
      </c>
      <c r="U11" s="59">
        <f>G11/E11</f>
        <v>0.25</v>
      </c>
      <c r="V11" s="55">
        <f t="shared" si="8"/>
        <v>1.8809212826623289E-2</v>
      </c>
      <c r="W11" s="55">
        <f t="shared" si="9"/>
        <v>6.3094632097098202E-3</v>
      </c>
      <c r="X11" s="55">
        <f t="shared" si="10"/>
        <v>1.8808217686658968E-2</v>
      </c>
      <c r="Y11" s="55">
        <f t="shared" si="11"/>
        <v>6.3091272706842227E-3</v>
      </c>
      <c r="Z11" s="66">
        <f t="shared" si="13"/>
        <v>857.85683265247962</v>
      </c>
      <c r="AA11" s="66">
        <f t="shared" si="12"/>
        <v>990.29111579524636</v>
      </c>
      <c r="AB11" s="66">
        <f t="shared" si="12"/>
        <v>857.90822446486038</v>
      </c>
      <c r="AC11" s="66">
        <f t="shared" si="12"/>
        <v>990.29262291144312</v>
      </c>
    </row>
    <row r="12" spans="2:29">
      <c r="B12" s="9">
        <f>B11+5</f>
        <v>45</v>
      </c>
      <c r="C12" s="9">
        <v>0</v>
      </c>
      <c r="D12" s="9">
        <v>88</v>
      </c>
      <c r="E12" s="9">
        <f t="shared" si="0"/>
        <v>0</v>
      </c>
      <c r="F12" s="9">
        <v>0</v>
      </c>
      <c r="G12" s="9">
        <v>0</v>
      </c>
      <c r="H12" s="3"/>
      <c r="I12" s="9">
        <f>I11+5</f>
        <v>45</v>
      </c>
      <c r="J12" s="9">
        <f>J11+C11-D11-E11</f>
        <v>88</v>
      </c>
      <c r="K12" s="9">
        <f t="shared" si="1"/>
        <v>0</v>
      </c>
      <c r="L12" s="9">
        <f>J12+0.5*(C12-D12)</f>
        <v>44</v>
      </c>
      <c r="M12" s="9">
        <f t="shared" si="2"/>
        <v>0</v>
      </c>
      <c r="N12" s="10">
        <f t="shared" si="3"/>
        <v>0</v>
      </c>
      <c r="O12" s="10">
        <f t="shared" si="4"/>
        <v>0</v>
      </c>
      <c r="P12" s="7">
        <f>P11-O11</f>
        <v>828.28980000000001</v>
      </c>
      <c r="Q12" s="61">
        <f t="shared" si="5"/>
        <v>0</v>
      </c>
      <c r="R12" s="57">
        <f t="shared" si="6"/>
        <v>0</v>
      </c>
      <c r="S12" s="57">
        <f t="shared" si="7"/>
        <v>0</v>
      </c>
      <c r="T12" s="60">
        <v>0</v>
      </c>
      <c r="U12" s="60">
        <v>0</v>
      </c>
      <c r="V12" s="57">
        <f t="shared" si="8"/>
        <v>0</v>
      </c>
      <c r="W12" s="57">
        <f t="shared" si="9"/>
        <v>0</v>
      </c>
      <c r="X12" s="57">
        <f t="shared" si="10"/>
        <v>0</v>
      </c>
      <c r="Y12" s="57">
        <f t="shared" si="11"/>
        <v>0</v>
      </c>
      <c r="Z12" s="67">
        <f t="shared" si="13"/>
        <v>841.72122091234621</v>
      </c>
      <c r="AA12" s="67">
        <f t="shared" si="12"/>
        <v>984.04291043323371</v>
      </c>
      <c r="AB12" s="67">
        <f t="shared" si="12"/>
        <v>841.77249982395017</v>
      </c>
      <c r="AC12" s="67">
        <f t="shared" si="12"/>
        <v>984.04474071827508</v>
      </c>
    </row>
    <row r="13" spans="2:29">
      <c r="F13" s="1">
        <f>SUM(F7:F12)</f>
        <v>21</v>
      </c>
      <c r="G13" s="1">
        <f>SUM(G7:G12)</f>
        <v>3</v>
      </c>
      <c r="P13" s="20" t="s">
        <v>24</v>
      </c>
      <c r="Q13" s="21">
        <f>1-P12/1000</f>
        <v>0.17171020000000004</v>
      </c>
    </row>
    <row r="14" spans="2:29">
      <c r="P14" s="22" t="s">
        <v>31</v>
      </c>
      <c r="Q14" s="24">
        <f>1-Q13</f>
        <v>0.82828979999999996</v>
      </c>
    </row>
    <row r="15" spans="2:29">
      <c r="C15" s="1" t="s">
        <v>55</v>
      </c>
    </row>
    <row r="16" spans="2:29" ht="16">
      <c r="B16" s="14" t="s">
        <v>3</v>
      </c>
      <c r="C16" s="14" t="s">
        <v>91</v>
      </c>
      <c r="D16" s="14" t="s">
        <v>92</v>
      </c>
      <c r="E16" s="74" t="s">
        <v>93</v>
      </c>
      <c r="F16" s="14" t="s">
        <v>90</v>
      </c>
      <c r="G16" s="19" t="s">
        <v>95</v>
      </c>
      <c r="H16" s="14" t="s">
        <v>94</v>
      </c>
      <c r="I16" s="14" t="s">
        <v>103</v>
      </c>
      <c r="K16" s="1" t="s">
        <v>65</v>
      </c>
    </row>
    <row r="17" spans="2:21">
      <c r="B17" s="4">
        <v>20</v>
      </c>
      <c r="C17" s="4">
        <f t="shared" ref="C17:C22" si="14">J7</f>
        <v>0</v>
      </c>
      <c r="D17" s="4">
        <f t="shared" ref="D17:D22" si="15">C17+C7-D7-G7-F7</f>
        <v>10</v>
      </c>
      <c r="E17" s="4">
        <f>C17+0.5*(D17-D7-G7)</f>
        <v>5</v>
      </c>
      <c r="F17" s="4">
        <f t="shared" ref="F17:F22" si="16">F7</f>
        <v>0</v>
      </c>
      <c r="G17" s="5">
        <f>1000*F17/(C17+0.5*C7-0.5*D7-0.5*F7)</f>
        <v>0</v>
      </c>
      <c r="H17" s="5">
        <f>I17*G17</f>
        <v>0</v>
      </c>
      <c r="I17" s="5">
        <v>1000</v>
      </c>
      <c r="J17" s="48"/>
      <c r="K17" s="1" t="s">
        <v>30</v>
      </c>
    </row>
    <row r="18" spans="2:21">
      <c r="B18" s="6">
        <f>B17+5</f>
        <v>25</v>
      </c>
      <c r="C18" s="6">
        <f t="shared" si="14"/>
        <v>10</v>
      </c>
      <c r="D18" s="6">
        <f t="shared" si="15"/>
        <v>86</v>
      </c>
      <c r="E18" s="6">
        <f>C18+0.5*(C8-D8-G8)</f>
        <v>50</v>
      </c>
      <c r="F18" s="6">
        <f t="shared" si="16"/>
        <v>4</v>
      </c>
      <c r="G18" s="7">
        <f>1000*F18/(C18+0.5*C8-0.5*D8-0.5*G8)</f>
        <v>80</v>
      </c>
      <c r="H18" s="7">
        <f>I18*(G18/1000)</f>
        <v>80</v>
      </c>
      <c r="I18" s="7">
        <f>I17-H17</f>
        <v>1000</v>
      </c>
      <c r="J18" s="48"/>
      <c r="K18" s="1" t="s">
        <v>66</v>
      </c>
    </row>
    <row r="19" spans="2:21">
      <c r="B19" s="6">
        <f>B18+5</f>
        <v>30</v>
      </c>
      <c r="C19" s="6">
        <f t="shared" si="14"/>
        <v>86</v>
      </c>
      <c r="D19" s="6">
        <f t="shared" si="15"/>
        <v>265</v>
      </c>
      <c r="E19" s="6">
        <f>C19+0.5*(C9-D9-G9)</f>
        <v>179.5</v>
      </c>
      <c r="F19" s="6">
        <f t="shared" si="16"/>
        <v>8</v>
      </c>
      <c r="G19" s="7">
        <f>1000*F19/(C19+0.5*C9-0.5*D9-0.5*G9)</f>
        <v>44.568245125348191</v>
      </c>
      <c r="H19" s="7">
        <f>I19*(G19/1000)</f>
        <v>41.002785515320333</v>
      </c>
      <c r="I19" s="7">
        <f>I18-H18</f>
        <v>920</v>
      </c>
      <c r="J19" s="48"/>
    </row>
    <row r="20" spans="2:21">
      <c r="B20" s="6">
        <f>B19+5</f>
        <v>35</v>
      </c>
      <c r="C20" s="6">
        <f t="shared" si="14"/>
        <v>265</v>
      </c>
      <c r="D20" s="6">
        <f t="shared" si="15"/>
        <v>228</v>
      </c>
      <c r="E20" s="6">
        <f>C20+0.5*(C10-D10-G10)</f>
        <v>249.5</v>
      </c>
      <c r="F20" s="6">
        <f t="shared" si="16"/>
        <v>6</v>
      </c>
      <c r="G20" s="7">
        <f>1000*F20/(C20+0.5*C10-0.5*D10-0.5*G10)</f>
        <v>24.048096192384769</v>
      </c>
      <c r="H20" s="7">
        <f>I20*(G20/1000)</f>
        <v>21.138209566765845</v>
      </c>
      <c r="I20" s="7">
        <f>I19-H19</f>
        <v>878.99721448467972</v>
      </c>
      <c r="J20" s="48"/>
    </row>
    <row r="21" spans="2:21">
      <c r="B21" s="6">
        <f>B20+5</f>
        <v>40</v>
      </c>
      <c r="C21" s="6">
        <f t="shared" si="14"/>
        <v>228</v>
      </c>
      <c r="D21" s="6">
        <f t="shared" si="15"/>
        <v>88</v>
      </c>
      <c r="E21" s="6">
        <f>C21+0.5*(C11-D11-G11)</f>
        <v>159.5</v>
      </c>
      <c r="F21" s="6">
        <f t="shared" si="16"/>
        <v>3</v>
      </c>
      <c r="G21" s="7">
        <f>1000*F21/(C21+0.5*C11-0.5*D11-0.5*G11)</f>
        <v>18.808777429467085</v>
      </c>
      <c r="H21" s="7">
        <f>I21*(G21/1000)</f>
        <v>16.135279089365152</v>
      </c>
      <c r="I21" s="7">
        <f>I20-H20</f>
        <v>857.85900491791392</v>
      </c>
      <c r="J21" s="48"/>
    </row>
    <row r="22" spans="2:21">
      <c r="B22" s="9">
        <f>B21+5</f>
        <v>45</v>
      </c>
      <c r="C22" s="9">
        <f t="shared" si="14"/>
        <v>88</v>
      </c>
      <c r="D22" s="9">
        <f t="shared" si="15"/>
        <v>0</v>
      </c>
      <c r="E22" s="9">
        <f>C22+0.5*(C12-D12-G12)</f>
        <v>44</v>
      </c>
      <c r="F22" s="9">
        <f t="shared" si="16"/>
        <v>0</v>
      </c>
      <c r="G22" s="10">
        <f>1000*F22/(C22+0.5*C12-0.5*D12-0.5*G12)</f>
        <v>0</v>
      </c>
      <c r="H22" s="10">
        <f>I22*(G22/1000)</f>
        <v>0</v>
      </c>
      <c r="I22" s="7">
        <f>I21-H21</f>
        <v>841.72372582854882</v>
      </c>
      <c r="J22" s="48"/>
    </row>
    <row r="23" spans="2:21">
      <c r="I23" s="20" t="s">
        <v>24</v>
      </c>
      <c r="J23" s="21">
        <f>1-I22/1000</f>
        <v>0.15827627417145118</v>
      </c>
      <c r="L23" s="1" t="s">
        <v>104</v>
      </c>
    </row>
    <row r="24" spans="2:21">
      <c r="I24" s="22" t="s">
        <v>33</v>
      </c>
      <c r="J24" s="23">
        <f>I22/1000</f>
        <v>0.84172372582854882</v>
      </c>
    </row>
    <row r="26" spans="2:21">
      <c r="C26" s="1" t="s">
        <v>56</v>
      </c>
    </row>
    <row r="27" spans="2:21" ht="16">
      <c r="B27" s="14" t="s">
        <v>3</v>
      </c>
      <c r="C27" s="14" t="s">
        <v>91</v>
      </c>
      <c r="D27" s="14" t="s">
        <v>92</v>
      </c>
      <c r="E27" s="74" t="s">
        <v>93</v>
      </c>
      <c r="F27" s="14" t="s">
        <v>90</v>
      </c>
      <c r="G27" s="19" t="s">
        <v>95</v>
      </c>
      <c r="H27" s="14" t="s">
        <v>94</v>
      </c>
      <c r="I27" s="14" t="s">
        <v>103</v>
      </c>
      <c r="J27" s="12"/>
      <c r="Q27" s="15"/>
      <c r="R27" s="16"/>
      <c r="S27" s="16"/>
      <c r="T27" s="15"/>
      <c r="U27" s="15"/>
    </row>
    <row r="28" spans="2:21">
      <c r="B28" s="4">
        <v>20</v>
      </c>
      <c r="C28" s="4">
        <f t="shared" ref="C28:C33" si="17">J7</f>
        <v>0</v>
      </c>
      <c r="D28" s="4">
        <f t="shared" ref="D28:D33" si="18">C28+C7-D7-E7</f>
        <v>10</v>
      </c>
      <c r="E28" s="4">
        <f>C28+0.5*(D28-D7-F7)</f>
        <v>5</v>
      </c>
      <c r="F28" s="4">
        <f t="shared" ref="F28:F33" si="19">G7</f>
        <v>0</v>
      </c>
      <c r="G28" s="5">
        <f t="shared" ref="G28:G33" si="20">1000*F28/(C28+0.5*C7-0.5*D7-0.5*F7)</f>
        <v>0</v>
      </c>
      <c r="H28" s="5">
        <f>I28*G28</f>
        <v>0</v>
      </c>
      <c r="I28" s="5">
        <v>1000</v>
      </c>
      <c r="J28" s="12"/>
      <c r="P28" s="13"/>
    </row>
    <row r="29" spans="2:21">
      <c r="B29" s="6">
        <f>B28+5</f>
        <v>25</v>
      </c>
      <c r="C29" s="6">
        <f t="shared" si="17"/>
        <v>10</v>
      </c>
      <c r="D29" s="6">
        <f t="shared" si="18"/>
        <v>86</v>
      </c>
      <c r="E29" s="6">
        <f>C29+0.5*(C8-D8-F8)</f>
        <v>48</v>
      </c>
      <c r="F29" s="6">
        <f t="shared" si="19"/>
        <v>0</v>
      </c>
      <c r="G29" s="7">
        <f t="shared" si="20"/>
        <v>0</v>
      </c>
      <c r="H29" s="7">
        <f>I29*(G29/1000)</f>
        <v>0</v>
      </c>
      <c r="I29" s="7">
        <f>I28-H28</f>
        <v>1000</v>
      </c>
      <c r="J29" s="12"/>
      <c r="K29" s="75" t="s">
        <v>35</v>
      </c>
      <c r="L29" s="11">
        <f>1-J24*J35</f>
        <v>0.17170622933841795</v>
      </c>
    </row>
    <row r="30" spans="2:21">
      <c r="B30" s="6">
        <f>B29+5</f>
        <v>30</v>
      </c>
      <c r="C30" s="6">
        <f t="shared" si="17"/>
        <v>86</v>
      </c>
      <c r="D30" s="6">
        <f t="shared" si="18"/>
        <v>265</v>
      </c>
      <c r="E30" s="6">
        <f>C30+0.5*(C9-D9-F9)</f>
        <v>176</v>
      </c>
      <c r="F30" s="6">
        <f t="shared" si="19"/>
        <v>1</v>
      </c>
      <c r="G30" s="7">
        <f t="shared" si="20"/>
        <v>5.6818181818181817</v>
      </c>
      <c r="H30" s="7">
        <f>I30*(G30/1000)</f>
        <v>5.6818181818181817</v>
      </c>
      <c r="I30" s="7">
        <f>I29-H29</f>
        <v>1000</v>
      </c>
      <c r="J30" s="12"/>
      <c r="K30" s="75" t="s">
        <v>36</v>
      </c>
      <c r="L30" s="11">
        <f>J24*J35</f>
        <v>0.82829377066158205</v>
      </c>
      <c r="T30" s="17"/>
      <c r="U30" s="17"/>
    </row>
    <row r="31" spans="2:21">
      <c r="B31" s="6">
        <f>B30+5</f>
        <v>35</v>
      </c>
      <c r="C31" s="6">
        <f t="shared" si="17"/>
        <v>265</v>
      </c>
      <c r="D31" s="6">
        <f t="shared" si="18"/>
        <v>228</v>
      </c>
      <c r="E31" s="6">
        <f>C31+0.5*(C10-D10-F10)</f>
        <v>247</v>
      </c>
      <c r="F31" s="6">
        <f t="shared" si="19"/>
        <v>1</v>
      </c>
      <c r="G31" s="7">
        <f t="shared" si="20"/>
        <v>4.048582995951417</v>
      </c>
      <c r="H31" s="7">
        <f>I31*(G31/1000)</f>
        <v>4.0255796834744206</v>
      </c>
      <c r="I31" s="7">
        <f>I30-H30</f>
        <v>994.31818181818187</v>
      </c>
      <c r="J31" s="12"/>
      <c r="K31" s="75" t="s">
        <v>37</v>
      </c>
      <c r="L31" s="11">
        <f>J23+J34</f>
        <v>0.17423157488932872</v>
      </c>
      <c r="M31" s="11"/>
      <c r="T31" s="17"/>
      <c r="U31" s="17"/>
    </row>
    <row r="32" spans="2:21">
      <c r="B32" s="6">
        <f>B31+5</f>
        <v>40</v>
      </c>
      <c r="C32" s="6">
        <f t="shared" si="17"/>
        <v>228</v>
      </c>
      <c r="D32" s="6">
        <f t="shared" si="18"/>
        <v>88</v>
      </c>
      <c r="E32" s="6">
        <f>C32+0.5*(C11-D11-F11)</f>
        <v>158.5</v>
      </c>
      <c r="F32" s="6">
        <f t="shared" si="19"/>
        <v>1</v>
      </c>
      <c r="G32" s="7">
        <f t="shared" si="20"/>
        <v>6.309148264984227</v>
      </c>
      <c r="H32" s="7">
        <f>I32*(G32/1000)</f>
        <v>6.2479028525849047</v>
      </c>
      <c r="I32" s="7">
        <f>I31-H31</f>
        <v>990.29260213470741</v>
      </c>
      <c r="J32" s="12"/>
      <c r="K32" s="75" t="s">
        <v>38</v>
      </c>
      <c r="L32" s="11">
        <f>J34*J23</f>
        <v>2.5253455509107376E-3</v>
      </c>
      <c r="T32" s="17"/>
      <c r="U32" s="17"/>
    </row>
    <row r="33" spans="2:15">
      <c r="B33" s="9">
        <f>B32+5</f>
        <v>45</v>
      </c>
      <c r="C33" s="9">
        <f t="shared" si="17"/>
        <v>88</v>
      </c>
      <c r="D33" s="9">
        <f t="shared" si="18"/>
        <v>0</v>
      </c>
      <c r="E33" s="9">
        <f>C33+0.5*(C12-D12-F12)</f>
        <v>44</v>
      </c>
      <c r="F33" s="9">
        <f t="shared" si="19"/>
        <v>0</v>
      </c>
      <c r="G33" s="10">
        <f t="shared" si="20"/>
        <v>0</v>
      </c>
      <c r="H33" s="10">
        <f>I33*(G33/1000)</f>
        <v>0</v>
      </c>
      <c r="I33" s="7">
        <f>I32-H32</f>
        <v>984.04469928212245</v>
      </c>
      <c r="K33" s="75" t="s">
        <v>89</v>
      </c>
      <c r="L33" s="11">
        <f>L31-L32</f>
        <v>0.17170622933841798</v>
      </c>
      <c r="M33" s="11"/>
      <c r="N33" s="46"/>
    </row>
    <row r="34" spans="2:15">
      <c r="I34" s="20" t="s">
        <v>24</v>
      </c>
      <c r="J34" s="21">
        <f>1-I33/1000</f>
        <v>1.5955300717877541E-2</v>
      </c>
      <c r="L34" s="18" t="s">
        <v>32</v>
      </c>
      <c r="M34" s="11">
        <f>1-L33</f>
        <v>0.82829377066158205</v>
      </c>
      <c r="O34" s="1" t="s">
        <v>47</v>
      </c>
    </row>
    <row r="35" spans="2:15">
      <c r="I35" s="22" t="s">
        <v>34</v>
      </c>
      <c r="J35" s="23">
        <f>I33/1000</f>
        <v>0.98404469928212246</v>
      </c>
    </row>
  </sheetData>
  <mergeCells count="6">
    <mergeCell ref="R5:S5"/>
    <mergeCell ref="X5:Y5"/>
    <mergeCell ref="Z5:AA5"/>
    <mergeCell ref="AB5:AC5"/>
    <mergeCell ref="V5:W5"/>
    <mergeCell ref="T5:U5"/>
  </mergeCells>
  <phoneticPr fontId="2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97E62-43A2-492D-873F-959E390EA8DE}">
  <dimension ref="A1:S71"/>
  <sheetViews>
    <sheetView zoomScale="120" zoomScaleNormal="120" workbookViewId="0">
      <selection activeCell="O10" sqref="O10"/>
    </sheetView>
  </sheetViews>
  <sheetFormatPr baseColWidth="10" defaultColWidth="11.36328125" defaultRowHeight="10.5"/>
  <cols>
    <col min="1" max="1" width="6.7265625" style="81" customWidth="1"/>
    <col min="2" max="4" width="11.36328125" style="81"/>
    <col min="5" max="7" width="7.7265625" style="81" customWidth="1"/>
    <col min="8" max="8" width="8.7265625" style="81" customWidth="1"/>
    <col min="9" max="10" width="11.36328125" style="81"/>
    <col min="11" max="11" width="14.36328125" style="81" customWidth="1"/>
    <col min="12" max="12" width="13.36328125" style="81" customWidth="1"/>
    <col min="13" max="16384" width="11.36328125" style="81"/>
  </cols>
  <sheetData>
    <row r="1" spans="1:18" ht="12">
      <c r="A1" s="79" t="s">
        <v>112</v>
      </c>
      <c r="B1" s="80"/>
      <c r="C1" s="80"/>
      <c r="D1" s="80"/>
      <c r="E1" s="80"/>
      <c r="F1" s="80"/>
      <c r="G1" s="80"/>
      <c r="H1" s="79"/>
      <c r="I1" s="79"/>
      <c r="J1" s="79"/>
      <c r="K1" s="79"/>
      <c r="L1" s="79"/>
    </row>
    <row r="2" spans="1:18" ht="12">
      <c r="A2" s="79" t="s">
        <v>113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8" ht="13">
      <c r="A3" s="82"/>
      <c r="B3" s="82"/>
      <c r="C3" s="82" t="s">
        <v>114</v>
      </c>
      <c r="D3" s="83" t="s">
        <v>115</v>
      </c>
      <c r="E3" s="83" t="s">
        <v>116</v>
      </c>
      <c r="F3" s="83" t="s">
        <v>116</v>
      </c>
      <c r="G3" s="83" t="s">
        <v>117</v>
      </c>
      <c r="H3" s="83" t="s">
        <v>115</v>
      </c>
      <c r="I3" s="83" t="s">
        <v>117</v>
      </c>
      <c r="J3" s="83" t="s">
        <v>115</v>
      </c>
      <c r="K3" s="82" t="s">
        <v>118</v>
      </c>
      <c r="L3" s="84" t="s">
        <v>119</v>
      </c>
    </row>
    <row r="4" spans="1:18" ht="15">
      <c r="A4" s="85" t="s">
        <v>120</v>
      </c>
      <c r="B4" s="85" t="s">
        <v>0</v>
      </c>
      <c r="C4" s="85" t="s">
        <v>121</v>
      </c>
      <c r="D4" s="85"/>
      <c r="E4" s="85"/>
      <c r="F4" s="85" t="s">
        <v>122</v>
      </c>
      <c r="G4" s="85" t="s">
        <v>122</v>
      </c>
      <c r="H4" s="85" t="s">
        <v>122</v>
      </c>
      <c r="I4" s="85" t="s">
        <v>123</v>
      </c>
      <c r="J4" s="85" t="s">
        <v>123</v>
      </c>
      <c r="K4" s="85" t="s">
        <v>124</v>
      </c>
      <c r="L4" s="86" t="s">
        <v>125</v>
      </c>
      <c r="M4" s="87"/>
      <c r="N4" s="87"/>
      <c r="O4" s="87"/>
    </row>
    <row r="5" spans="1:18" ht="12">
      <c r="A5" s="79">
        <v>0</v>
      </c>
      <c r="B5" s="88">
        <v>1841</v>
      </c>
      <c r="C5" s="88">
        <v>22.091999999999999</v>
      </c>
      <c r="D5" s="88">
        <v>100000</v>
      </c>
      <c r="E5" s="89">
        <f>1-D6/D5</f>
        <v>4.9400000000000555E-3</v>
      </c>
      <c r="F5" s="90">
        <f>E5*(C5/B5)</f>
        <v>5.9280000000000659E-5</v>
      </c>
      <c r="G5" s="79">
        <f>ROUND(F5*D5,0)</f>
        <v>6</v>
      </c>
      <c r="H5" s="88">
        <f>SUM(G5:$G$23)</f>
        <v>32503</v>
      </c>
      <c r="I5" s="88">
        <f>D5*E5-G5</f>
        <v>488.00000000000557</v>
      </c>
      <c r="J5" s="91">
        <f>SUM(I5:I23)</f>
        <v>67497</v>
      </c>
      <c r="K5" s="91">
        <f>(A5+(A6-A5)*0.5)*G5</f>
        <v>3</v>
      </c>
      <c r="L5" s="92">
        <f>2*F5/((2-F5)*(A6-A5))</f>
        <v>5.9281757111281442E-5</v>
      </c>
      <c r="M5" s="93"/>
      <c r="N5" s="94"/>
      <c r="P5" s="95"/>
      <c r="Q5" s="94"/>
      <c r="R5" s="94"/>
    </row>
    <row r="6" spans="1:18" ht="12">
      <c r="A6" s="79">
        <v>1</v>
      </c>
      <c r="B6" s="88">
        <v>403</v>
      </c>
      <c r="C6" s="88">
        <v>72.540000000000006</v>
      </c>
      <c r="D6" s="88">
        <v>99506</v>
      </c>
      <c r="E6" s="89">
        <f t="shared" ref="E6:E23" si="0">1-D7/D6</f>
        <v>1.0954113319799896E-3</v>
      </c>
      <c r="F6" s="90">
        <f t="shared" ref="F6:F22" si="1">E6*(C6/B6)</f>
        <v>1.9717403975639814E-4</v>
      </c>
      <c r="G6" s="79">
        <f>ROUND(F6*D6,0)</f>
        <v>20</v>
      </c>
      <c r="H6" s="88">
        <f>SUM(G6:$G$23)</f>
        <v>32497</v>
      </c>
      <c r="I6" s="88">
        <f t="shared" ref="I6:I23" si="2">D6*E6-G6</f>
        <v>89.000000000000853</v>
      </c>
      <c r="J6" s="91">
        <f>J5-I5</f>
        <v>67009</v>
      </c>
      <c r="K6" s="91">
        <f>(A6+(A7-A6)*0.5)*G6</f>
        <v>60</v>
      </c>
      <c r="L6" s="92">
        <f t="shared" ref="L6:L22" si="3">2*F6/((2-F6)*(A7-A6))</f>
        <v>4.9298370118494373E-5</v>
      </c>
      <c r="M6" s="93"/>
      <c r="N6" s="94"/>
      <c r="P6" s="95"/>
      <c r="Q6" s="94"/>
      <c r="R6" s="94"/>
    </row>
    <row r="7" spans="1:18" ht="12">
      <c r="A7" s="79">
        <v>5</v>
      </c>
      <c r="B7" s="88">
        <v>266</v>
      </c>
      <c r="C7" s="88">
        <v>47.88</v>
      </c>
      <c r="D7" s="88">
        <v>99397</v>
      </c>
      <c r="E7" s="89">
        <f t="shared" si="0"/>
        <v>7.1430727285526352E-4</v>
      </c>
      <c r="F7" s="90">
        <f t="shared" si="1"/>
        <v>1.2857530911394746E-4</v>
      </c>
      <c r="G7" s="79">
        <f t="shared" ref="G7:G23" si="4">ROUND(F7*D7,0)</f>
        <v>13</v>
      </c>
      <c r="H7" s="88">
        <f>SUM(G7:$G$23)</f>
        <v>32477</v>
      </c>
      <c r="I7" s="88">
        <f t="shared" si="2"/>
        <v>57.999999999994628</v>
      </c>
      <c r="J7" s="91">
        <f t="shared" ref="J7:J23" si="5">J6-I6</f>
        <v>66920</v>
      </c>
      <c r="K7" s="91">
        <f t="shared" ref="K7:K22" si="6">(A7+(A8-A7)*0.5)*G7</f>
        <v>97.5</v>
      </c>
      <c r="L7" s="92">
        <f t="shared" si="3"/>
        <v>2.5716715090085544E-5</v>
      </c>
      <c r="M7" s="93"/>
      <c r="N7" s="94"/>
      <c r="P7" s="95"/>
      <c r="Q7" s="94"/>
      <c r="R7" s="94"/>
    </row>
    <row r="8" spans="1:18" ht="12">
      <c r="A8" s="79">
        <v>10</v>
      </c>
      <c r="B8" s="88">
        <v>349</v>
      </c>
      <c r="C8" s="88">
        <v>31.41</v>
      </c>
      <c r="D8" s="88">
        <v>99326</v>
      </c>
      <c r="E8" s="89">
        <f t="shared" si="0"/>
        <v>8.8597144755653279E-4</v>
      </c>
      <c r="F8" s="90">
        <f t="shared" si="1"/>
        <v>7.9737430280087953E-5</v>
      </c>
      <c r="G8" s="79">
        <f t="shared" si="4"/>
        <v>8</v>
      </c>
      <c r="H8" s="88">
        <f>SUM(G8:$G$23)</f>
        <v>32464</v>
      </c>
      <c r="I8" s="88">
        <f t="shared" si="2"/>
        <v>80.000000000000171</v>
      </c>
      <c r="J8" s="91">
        <f t="shared" si="5"/>
        <v>66862</v>
      </c>
      <c r="K8" s="91">
        <f t="shared" si="6"/>
        <v>100</v>
      </c>
      <c r="L8" s="92">
        <f t="shared" si="3"/>
        <v>1.5948121887146129E-5</v>
      </c>
      <c r="M8" s="93"/>
      <c r="N8" s="94"/>
      <c r="P8" s="95"/>
      <c r="Q8" s="94"/>
      <c r="R8" s="94"/>
    </row>
    <row r="9" spans="1:18" ht="12">
      <c r="A9" s="79">
        <v>15</v>
      </c>
      <c r="B9" s="88">
        <v>1446</v>
      </c>
      <c r="C9" s="88">
        <v>130.13999999999999</v>
      </c>
      <c r="D9" s="88">
        <v>99238</v>
      </c>
      <c r="E9" s="89">
        <f t="shared" si="0"/>
        <v>3.5772587113807042E-3</v>
      </c>
      <c r="F9" s="90">
        <f t="shared" si="1"/>
        <v>3.2195328402426335E-4</v>
      </c>
      <c r="G9" s="79">
        <f t="shared" si="4"/>
        <v>32</v>
      </c>
      <c r="H9" s="88">
        <f>SUM(G9:$G$23)</f>
        <v>32456</v>
      </c>
      <c r="I9" s="88">
        <f t="shared" si="2"/>
        <v>322.99999999999829</v>
      </c>
      <c r="J9" s="91">
        <f t="shared" si="5"/>
        <v>66782</v>
      </c>
      <c r="K9" s="91">
        <f t="shared" si="6"/>
        <v>560</v>
      </c>
      <c r="L9" s="92">
        <f t="shared" si="3"/>
        <v>6.4401023865416664E-5</v>
      </c>
      <c r="M9" s="93"/>
      <c r="N9" s="94"/>
      <c r="Q9" s="94"/>
      <c r="R9" s="94"/>
    </row>
    <row r="10" spans="1:18" ht="12">
      <c r="A10" s="79">
        <v>20</v>
      </c>
      <c r="B10" s="88">
        <v>2126</v>
      </c>
      <c r="C10" s="88">
        <v>159.44999999999999</v>
      </c>
      <c r="D10" s="88">
        <v>98883</v>
      </c>
      <c r="E10" s="89">
        <f t="shared" si="0"/>
        <v>5.6632585985457728E-3</v>
      </c>
      <c r="F10" s="90">
        <f t="shared" si="1"/>
        <v>4.2474439489093295E-4</v>
      </c>
      <c r="G10" s="79">
        <f t="shared" si="4"/>
        <v>42</v>
      </c>
      <c r="H10" s="88">
        <f>SUM(G10:$G$23)</f>
        <v>32424</v>
      </c>
      <c r="I10" s="88">
        <f t="shared" si="2"/>
        <v>518.00000000000171</v>
      </c>
      <c r="J10" s="91">
        <f t="shared" si="5"/>
        <v>66459</v>
      </c>
      <c r="K10" s="91">
        <f t="shared" si="6"/>
        <v>945</v>
      </c>
      <c r="L10" s="92">
        <f t="shared" si="3"/>
        <v>8.4966923590459672E-5</v>
      </c>
      <c r="M10" s="93"/>
      <c r="N10" s="94"/>
      <c r="P10" s="95"/>
      <c r="Q10" s="94"/>
      <c r="R10" s="94"/>
    </row>
    <row r="11" spans="1:18" ht="12">
      <c r="A11" s="79">
        <v>25</v>
      </c>
      <c r="B11" s="88">
        <v>2419</v>
      </c>
      <c r="C11" s="88">
        <v>181.42500000000001</v>
      </c>
      <c r="D11" s="88">
        <v>98323</v>
      </c>
      <c r="E11" s="89">
        <f t="shared" si="0"/>
        <v>5.736196007038008E-3</v>
      </c>
      <c r="F11" s="90">
        <f t="shared" si="1"/>
        <v>4.3021470052785068E-4</v>
      </c>
      <c r="G11" s="79">
        <f t="shared" si="4"/>
        <v>42</v>
      </c>
      <c r="H11" s="88">
        <f>SUM(G11:$G$23)</f>
        <v>32382</v>
      </c>
      <c r="I11" s="88">
        <f t="shared" si="2"/>
        <v>521.99999999999807</v>
      </c>
      <c r="J11" s="91">
        <f t="shared" si="5"/>
        <v>65941</v>
      </c>
      <c r="K11" s="91">
        <f t="shared" si="6"/>
        <v>1155</v>
      </c>
      <c r="L11" s="92">
        <f t="shared" si="3"/>
        <v>8.6061452556589454E-5</v>
      </c>
      <c r="M11" s="93"/>
      <c r="N11" s="94"/>
      <c r="P11" s="95"/>
      <c r="Q11" s="94"/>
      <c r="R11" s="94"/>
    </row>
    <row r="12" spans="1:18" ht="12">
      <c r="A12" s="79">
        <v>30</v>
      </c>
      <c r="B12" s="88">
        <v>2806</v>
      </c>
      <c r="C12" s="88">
        <v>280.60000000000002</v>
      </c>
      <c r="D12" s="88">
        <v>97759</v>
      </c>
      <c r="E12" s="89">
        <f t="shared" si="0"/>
        <v>6.5773995233175953E-3</v>
      </c>
      <c r="F12" s="90">
        <f t="shared" si="1"/>
        <v>6.5773995233175953E-4</v>
      </c>
      <c r="G12" s="79">
        <f t="shared" si="4"/>
        <v>64</v>
      </c>
      <c r="H12" s="88">
        <f>SUM(G12:$G$23)</f>
        <v>32340</v>
      </c>
      <c r="I12" s="88">
        <f t="shared" si="2"/>
        <v>579.00000000000477</v>
      </c>
      <c r="J12" s="91">
        <f t="shared" si="5"/>
        <v>65419</v>
      </c>
      <c r="K12" s="91">
        <f t="shared" si="6"/>
        <v>2080</v>
      </c>
      <c r="L12" s="92">
        <f t="shared" si="3"/>
        <v>1.3159126688315541E-4</v>
      </c>
      <c r="M12" s="93"/>
      <c r="N12" s="94"/>
      <c r="P12" s="95"/>
      <c r="Q12" s="94"/>
      <c r="R12" s="94"/>
    </row>
    <row r="13" spans="1:18" ht="12">
      <c r="A13" s="79">
        <v>35</v>
      </c>
      <c r="B13" s="88">
        <v>3981</v>
      </c>
      <c r="C13" s="88">
        <v>796.2</v>
      </c>
      <c r="D13" s="88">
        <v>97116</v>
      </c>
      <c r="E13" s="89">
        <f t="shared" si="0"/>
        <v>9.2466740804810765E-3</v>
      </c>
      <c r="F13" s="90">
        <f t="shared" si="1"/>
        <v>1.8493348160962153E-3</v>
      </c>
      <c r="G13" s="79">
        <f t="shared" si="4"/>
        <v>180</v>
      </c>
      <c r="H13" s="88">
        <f>SUM(G13:$G$23)</f>
        <v>32276</v>
      </c>
      <c r="I13" s="88">
        <f t="shared" si="2"/>
        <v>718.00000000000023</v>
      </c>
      <c r="J13" s="91">
        <f t="shared" si="5"/>
        <v>64839.999999999993</v>
      </c>
      <c r="K13" s="91">
        <f t="shared" si="6"/>
        <v>6750</v>
      </c>
      <c r="L13" s="92">
        <f t="shared" si="3"/>
        <v>3.7020928367801698E-4</v>
      </c>
      <c r="M13" s="93"/>
      <c r="N13" s="94"/>
      <c r="P13" s="95"/>
      <c r="Q13" s="94"/>
      <c r="R13" s="94"/>
    </row>
    <row r="14" spans="1:18" ht="12">
      <c r="A14" s="79">
        <v>40</v>
      </c>
      <c r="B14" s="88">
        <v>6506</v>
      </c>
      <c r="C14" s="88">
        <v>1951.8</v>
      </c>
      <c r="D14" s="88">
        <v>96218</v>
      </c>
      <c r="E14" s="89">
        <f t="shared" si="0"/>
        <v>1.545448876509592E-2</v>
      </c>
      <c r="F14" s="90">
        <f t="shared" si="1"/>
        <v>4.6363466295287759E-3</v>
      </c>
      <c r="G14" s="79">
        <f t="shared" si="4"/>
        <v>446</v>
      </c>
      <c r="H14" s="88">
        <f>SUM(G14:$G$23)</f>
        <v>32096</v>
      </c>
      <c r="I14" s="88">
        <f t="shared" si="2"/>
        <v>1040.9999999999991</v>
      </c>
      <c r="J14" s="91">
        <f t="shared" si="5"/>
        <v>64121.999999999993</v>
      </c>
      <c r="K14" s="91">
        <f t="shared" si="6"/>
        <v>18955</v>
      </c>
      <c r="L14" s="92">
        <f t="shared" si="3"/>
        <v>9.2942389156929546E-4</v>
      </c>
      <c r="M14" s="93"/>
      <c r="N14" s="94"/>
      <c r="P14" s="95"/>
      <c r="Q14" s="94"/>
      <c r="R14" s="94"/>
    </row>
    <row r="15" spans="1:18" ht="12">
      <c r="A15" s="79">
        <v>45</v>
      </c>
      <c r="B15" s="88">
        <v>9944</v>
      </c>
      <c r="C15" s="88">
        <v>4176.4799999999996</v>
      </c>
      <c r="D15" s="88">
        <v>94731</v>
      </c>
      <c r="E15" s="89">
        <f t="shared" si="0"/>
        <v>2.3371441238876356E-2</v>
      </c>
      <c r="F15" s="90">
        <f t="shared" si="1"/>
        <v>9.8160053203280671E-3</v>
      </c>
      <c r="G15" s="79">
        <f t="shared" si="4"/>
        <v>930</v>
      </c>
      <c r="H15" s="88">
        <f>SUM(G15:$G$23)</f>
        <v>31650</v>
      </c>
      <c r="I15" s="88">
        <f t="shared" si="2"/>
        <v>1283.9999999999959</v>
      </c>
      <c r="J15" s="91">
        <f t="shared" si="5"/>
        <v>63080.999999999993</v>
      </c>
      <c r="K15" s="91">
        <f t="shared" si="6"/>
        <v>44175</v>
      </c>
      <c r="L15" s="92">
        <f t="shared" si="3"/>
        <v>1.9728839839068231E-3</v>
      </c>
      <c r="M15" s="93"/>
      <c r="N15" s="94"/>
      <c r="P15" s="95"/>
      <c r="Q15" s="94"/>
      <c r="R15" s="94"/>
    </row>
    <row r="16" spans="1:18" ht="12">
      <c r="A16" s="79">
        <v>50</v>
      </c>
      <c r="B16" s="88">
        <v>12940</v>
      </c>
      <c r="C16" s="88">
        <v>6275.9</v>
      </c>
      <c r="D16" s="88">
        <v>92517</v>
      </c>
      <c r="E16" s="89">
        <f t="shared" si="0"/>
        <v>3.3550590702249306E-2</v>
      </c>
      <c r="F16" s="90">
        <f t="shared" si="1"/>
        <v>1.6272036490590912E-2</v>
      </c>
      <c r="G16" s="79">
        <f t="shared" si="4"/>
        <v>1505</v>
      </c>
      <c r="H16" s="88">
        <f>SUM(G16:$G$23)</f>
        <v>30720</v>
      </c>
      <c r="I16" s="88">
        <f t="shared" si="2"/>
        <v>1598.9999999999991</v>
      </c>
      <c r="J16" s="91">
        <f t="shared" si="5"/>
        <v>61797</v>
      </c>
      <c r="K16" s="91">
        <f t="shared" si="6"/>
        <v>79012.5</v>
      </c>
      <c r="L16" s="92">
        <f t="shared" si="3"/>
        <v>3.2811024071675806E-3</v>
      </c>
      <c r="M16" s="93"/>
      <c r="N16" s="94"/>
      <c r="P16" s="95"/>
      <c r="Q16" s="94"/>
      <c r="R16" s="94"/>
    </row>
    <row r="17" spans="1:19" ht="12">
      <c r="A17" s="79">
        <v>55</v>
      </c>
      <c r="B17" s="88">
        <v>12934</v>
      </c>
      <c r="C17" s="88">
        <v>6272.99</v>
      </c>
      <c r="D17" s="88">
        <v>89413</v>
      </c>
      <c r="E17" s="89">
        <f t="shared" si="0"/>
        <v>4.6827642512833667E-2</v>
      </c>
      <c r="F17" s="90">
        <f t="shared" si="1"/>
        <v>2.2711406618724329E-2</v>
      </c>
      <c r="G17" s="79">
        <f t="shared" si="4"/>
        <v>2031</v>
      </c>
      <c r="H17" s="88">
        <f>SUM(G17:$G$23)</f>
        <v>29215</v>
      </c>
      <c r="I17" s="88">
        <f t="shared" si="2"/>
        <v>2155.9999999999964</v>
      </c>
      <c r="J17" s="91">
        <f t="shared" si="5"/>
        <v>60198</v>
      </c>
      <c r="K17" s="91">
        <f t="shared" si="6"/>
        <v>116782.5</v>
      </c>
      <c r="L17" s="92">
        <f t="shared" si="3"/>
        <v>4.5944545869020638E-3</v>
      </c>
      <c r="M17" s="93"/>
      <c r="N17" s="94"/>
      <c r="P17" s="95"/>
      <c r="Q17" s="94"/>
      <c r="R17" s="94"/>
    </row>
    <row r="18" spans="1:19" ht="12">
      <c r="A18" s="79">
        <v>60</v>
      </c>
      <c r="B18" s="88">
        <v>18688</v>
      </c>
      <c r="C18" s="88">
        <v>9344</v>
      </c>
      <c r="D18" s="88">
        <v>85226</v>
      </c>
      <c r="E18" s="89">
        <f t="shared" si="0"/>
        <v>6.9169032924225049E-2</v>
      </c>
      <c r="F18" s="90">
        <f t="shared" si="1"/>
        <v>3.4584516462112525E-2</v>
      </c>
      <c r="G18" s="79">
        <f t="shared" si="4"/>
        <v>2948</v>
      </c>
      <c r="H18" s="88">
        <f>SUM(G18:$G$23)</f>
        <v>27184</v>
      </c>
      <c r="I18" s="88">
        <f t="shared" si="2"/>
        <v>2947.0000000000036</v>
      </c>
      <c r="J18" s="91">
        <f t="shared" si="5"/>
        <v>58042</v>
      </c>
      <c r="K18" s="91">
        <f t="shared" si="6"/>
        <v>184250</v>
      </c>
      <c r="L18" s="92">
        <f t="shared" si="3"/>
        <v>7.0386168729795369E-3</v>
      </c>
      <c r="M18" s="93"/>
      <c r="N18" s="94"/>
      <c r="P18" s="95"/>
      <c r="Q18" s="94"/>
      <c r="R18" s="94"/>
    </row>
    <row r="19" spans="1:19" ht="12">
      <c r="A19" s="79">
        <v>65</v>
      </c>
      <c r="B19" s="88">
        <v>27814</v>
      </c>
      <c r="C19" s="88">
        <v>12516.3</v>
      </c>
      <c r="D19" s="88">
        <v>79331</v>
      </c>
      <c r="E19" s="89">
        <f t="shared" si="0"/>
        <v>0.10548209401116837</v>
      </c>
      <c r="F19" s="90">
        <f t="shared" si="1"/>
        <v>4.746694230502576E-2</v>
      </c>
      <c r="G19" s="79">
        <f t="shared" si="4"/>
        <v>3766</v>
      </c>
      <c r="H19" s="88">
        <f>SUM(G19:$G$23)</f>
        <v>24236</v>
      </c>
      <c r="I19" s="88">
        <f t="shared" si="2"/>
        <v>4601.9999999999982</v>
      </c>
      <c r="J19" s="91">
        <f t="shared" si="5"/>
        <v>55095</v>
      </c>
      <c r="K19" s="91">
        <f t="shared" si="6"/>
        <v>254205</v>
      </c>
      <c r="L19" s="92">
        <f t="shared" si="3"/>
        <v>9.7241769337440987E-3</v>
      </c>
      <c r="M19" s="93"/>
      <c r="N19" s="94"/>
      <c r="P19" s="95"/>
      <c r="Q19" s="94"/>
      <c r="R19" s="94"/>
    </row>
    <row r="20" spans="1:19" ht="12">
      <c r="A20" s="79">
        <v>70</v>
      </c>
      <c r="B20" s="88">
        <v>35939</v>
      </c>
      <c r="C20" s="88">
        <v>15094.38</v>
      </c>
      <c r="D20" s="88">
        <v>70963</v>
      </c>
      <c r="E20" s="89">
        <f t="shared" si="0"/>
        <v>0.15774417654270534</v>
      </c>
      <c r="F20" s="90">
        <f t="shared" si="1"/>
        <v>6.6252554147936238E-2</v>
      </c>
      <c r="G20" s="79">
        <f t="shared" si="4"/>
        <v>4701</v>
      </c>
      <c r="H20" s="88">
        <f>SUM(G20:$G$23)</f>
        <v>20470</v>
      </c>
      <c r="I20" s="88">
        <f t="shared" si="2"/>
        <v>6492.9999999999982</v>
      </c>
      <c r="J20" s="91">
        <f t="shared" si="5"/>
        <v>50493</v>
      </c>
      <c r="K20" s="91">
        <f t="shared" si="6"/>
        <v>340822.5</v>
      </c>
      <c r="L20" s="92">
        <f t="shared" si="3"/>
        <v>1.3704489547494862E-2</v>
      </c>
      <c r="M20" s="93"/>
      <c r="N20" s="94"/>
      <c r="P20" s="95"/>
      <c r="Q20" s="94"/>
      <c r="R20" s="94"/>
    </row>
    <row r="21" spans="1:19" ht="12">
      <c r="A21" s="79">
        <v>75</v>
      </c>
      <c r="B21" s="88">
        <v>43859</v>
      </c>
      <c r="C21" s="88">
        <v>15350.65</v>
      </c>
      <c r="D21" s="88">
        <v>59769</v>
      </c>
      <c r="E21" s="89">
        <f t="shared" si="0"/>
        <v>0.23978985761849791</v>
      </c>
      <c r="F21" s="90">
        <f t="shared" si="1"/>
        <v>8.3926450166474265E-2</v>
      </c>
      <c r="G21" s="79">
        <f t="shared" si="4"/>
        <v>5016</v>
      </c>
      <c r="H21" s="88">
        <f>SUM(G21:$G$23)</f>
        <v>15769</v>
      </c>
      <c r="I21" s="88">
        <f t="shared" si="2"/>
        <v>9316.0000000000018</v>
      </c>
      <c r="J21" s="91">
        <f t="shared" si="5"/>
        <v>44000</v>
      </c>
      <c r="K21" s="91">
        <f t="shared" si="6"/>
        <v>388740</v>
      </c>
      <c r="L21" s="92">
        <f t="shared" si="3"/>
        <v>1.7520507012638645E-2</v>
      </c>
      <c r="M21" s="93"/>
      <c r="N21" s="94"/>
      <c r="P21" s="95"/>
      <c r="Q21" s="94"/>
      <c r="R21" s="94"/>
    </row>
    <row r="22" spans="1:19" ht="12">
      <c r="A22" s="79">
        <v>80</v>
      </c>
      <c r="B22" s="88">
        <v>27999</v>
      </c>
      <c r="C22" s="88">
        <v>8399.7000000000007</v>
      </c>
      <c r="D22" s="88">
        <v>45437</v>
      </c>
      <c r="E22" s="89">
        <f t="shared" si="0"/>
        <v>0.36668353984638069</v>
      </c>
      <c r="F22" s="90">
        <f t="shared" si="1"/>
        <v>0.11000506195391423</v>
      </c>
      <c r="G22" s="79">
        <f t="shared" si="4"/>
        <v>4998</v>
      </c>
      <c r="H22" s="88">
        <f>SUM(G22:$G$23)</f>
        <v>10753</v>
      </c>
      <c r="I22" s="88">
        <f t="shared" si="2"/>
        <v>11663</v>
      </c>
      <c r="J22" s="91">
        <f t="shared" si="5"/>
        <v>34684</v>
      </c>
      <c r="K22" s="91">
        <f t="shared" si="6"/>
        <v>412335</v>
      </c>
      <c r="L22" s="92">
        <f t="shared" si="3"/>
        <v>2.3281556948007411E-2</v>
      </c>
      <c r="M22" s="93"/>
      <c r="N22" s="94"/>
      <c r="P22" s="95"/>
      <c r="Q22" s="94"/>
      <c r="R22" s="94"/>
    </row>
    <row r="23" spans="1:19" ht="12">
      <c r="A23" s="79">
        <v>85</v>
      </c>
      <c r="B23" s="88">
        <v>62504</v>
      </c>
      <c r="C23" s="88">
        <v>12500.8</v>
      </c>
      <c r="D23" s="88">
        <v>28776</v>
      </c>
      <c r="E23" s="89">
        <f t="shared" si="0"/>
        <v>1</v>
      </c>
      <c r="F23" s="90">
        <f>E23*(C23/B23)</f>
        <v>0.19999999999999998</v>
      </c>
      <c r="G23" s="79">
        <f t="shared" si="4"/>
        <v>5755</v>
      </c>
      <c r="H23" s="88">
        <f>SUM(G23:$G$23)</f>
        <v>5755</v>
      </c>
      <c r="I23" s="88">
        <f t="shared" si="2"/>
        <v>23021</v>
      </c>
      <c r="J23" s="91">
        <f t="shared" si="5"/>
        <v>23021</v>
      </c>
      <c r="K23" s="91">
        <f>(A23+5.5)*G23</f>
        <v>520827.5</v>
      </c>
      <c r="L23" s="92">
        <f>2*F23/((2-F23)*5.27)</f>
        <v>4.2167404596247106E-2</v>
      </c>
      <c r="M23" s="93"/>
      <c r="N23" s="94"/>
      <c r="P23" s="95"/>
      <c r="Q23" s="94"/>
      <c r="R23" s="94"/>
    </row>
    <row r="24" spans="1:19" ht="12">
      <c r="A24" s="96" t="s">
        <v>21</v>
      </c>
      <c r="B24" s="88">
        <f>SUM(B5:B23)</f>
        <v>274764</v>
      </c>
      <c r="C24" s="88">
        <f>SUM(C5:C23)</f>
        <v>93604.736999999994</v>
      </c>
      <c r="D24" s="97"/>
      <c r="E24" s="98"/>
      <c r="F24" s="90"/>
      <c r="G24" s="79"/>
      <c r="H24" s="88"/>
      <c r="I24" s="79"/>
      <c r="J24" s="79"/>
      <c r="K24" s="91">
        <f>SUM(K5:K23)</f>
        <v>2371855.5</v>
      </c>
      <c r="L24" s="79"/>
    </row>
    <row r="25" spans="1:19" ht="12">
      <c r="A25" s="79"/>
      <c r="B25" s="88"/>
      <c r="C25" s="99">
        <f>C24/B24</f>
        <v>0.34067322138271389</v>
      </c>
      <c r="D25" s="79"/>
      <c r="E25" s="79"/>
      <c r="F25" s="79"/>
      <c r="G25" s="79"/>
      <c r="H25" s="79"/>
      <c r="I25" s="79"/>
      <c r="J25" s="96" t="s">
        <v>126</v>
      </c>
      <c r="K25" s="100">
        <f>K24/H5</f>
        <v>72.973433221548774</v>
      </c>
      <c r="L25" s="79"/>
    </row>
    <row r="26" spans="1:19" ht="13">
      <c r="A26" s="79" t="s">
        <v>127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P26" s="101"/>
      <c r="Q26" s="102"/>
      <c r="R26" s="102"/>
      <c r="S26" s="103"/>
    </row>
    <row r="27" spans="1:19" ht="13.5">
      <c r="A27" s="82"/>
      <c r="B27" s="82"/>
      <c r="C27" s="82" t="s">
        <v>114</v>
      </c>
      <c r="D27" s="83" t="s">
        <v>115</v>
      </c>
      <c r="E27" s="83" t="s">
        <v>116</v>
      </c>
      <c r="F27" s="83" t="s">
        <v>116</v>
      </c>
      <c r="G27" s="83" t="s">
        <v>117</v>
      </c>
      <c r="H27" s="83" t="s">
        <v>115</v>
      </c>
      <c r="I27" s="83" t="s">
        <v>117</v>
      </c>
      <c r="J27" s="83" t="s">
        <v>115</v>
      </c>
      <c r="K27" s="82" t="s">
        <v>118</v>
      </c>
      <c r="L27" s="84" t="s">
        <v>119</v>
      </c>
      <c r="P27" s="101"/>
      <c r="Q27" s="102"/>
      <c r="R27" s="102"/>
      <c r="S27" s="103"/>
    </row>
    <row r="28" spans="1:19" ht="13">
      <c r="A28" s="85" t="s">
        <v>120</v>
      </c>
      <c r="B28" s="85" t="s">
        <v>0</v>
      </c>
      <c r="C28" s="85" t="s">
        <v>121</v>
      </c>
      <c r="D28" s="85"/>
      <c r="E28" s="85"/>
      <c r="F28" s="85" t="s">
        <v>122</v>
      </c>
      <c r="G28" s="85" t="s">
        <v>122</v>
      </c>
      <c r="H28" s="85" t="s">
        <v>122</v>
      </c>
      <c r="I28" s="85" t="s">
        <v>123</v>
      </c>
      <c r="J28" s="85" t="s">
        <v>123</v>
      </c>
      <c r="K28" s="85" t="s">
        <v>124</v>
      </c>
      <c r="L28" s="86" t="s">
        <v>125</v>
      </c>
      <c r="P28" s="101"/>
      <c r="Q28" s="102"/>
      <c r="R28" s="102"/>
      <c r="S28" s="103"/>
    </row>
    <row r="29" spans="1:19" ht="13">
      <c r="A29" s="79">
        <v>0</v>
      </c>
      <c r="B29" s="79">
        <v>1375</v>
      </c>
      <c r="C29" s="88">
        <v>15.5</v>
      </c>
      <c r="D29" s="88">
        <v>100000</v>
      </c>
      <c r="E29" s="89">
        <f>1-D30/D29</f>
        <v>3.8799999999999946E-3</v>
      </c>
      <c r="F29" s="90">
        <f>E29*(C29/B29)</f>
        <v>4.373818181818176E-5</v>
      </c>
      <c r="G29" s="79">
        <f>ROUND(F29*D29,0)</f>
        <v>4</v>
      </c>
      <c r="H29" s="88">
        <f>SUM(G29:$G$47)</f>
        <v>25860</v>
      </c>
      <c r="I29" s="88">
        <f>D29*E29-G29</f>
        <v>383.99999999999943</v>
      </c>
      <c r="J29" s="91">
        <f>SUM(I29:I47)</f>
        <v>74139.999999999971</v>
      </c>
      <c r="K29" s="91">
        <f>(A29+(A30-A29)*0.5)*G29</f>
        <v>2</v>
      </c>
      <c r="L29" s="92">
        <f>2*F29/((2-F29)*(A30-A29))</f>
        <v>4.3739138353374692E-5</v>
      </c>
      <c r="M29" s="104"/>
      <c r="P29" s="101"/>
      <c r="Q29" s="102"/>
      <c r="R29" s="102"/>
      <c r="S29" s="103"/>
    </row>
    <row r="30" spans="1:19" ht="13">
      <c r="A30" s="79">
        <v>1</v>
      </c>
      <c r="B30" s="79">
        <v>302</v>
      </c>
      <c r="C30" s="88">
        <v>57.38</v>
      </c>
      <c r="D30" s="88">
        <v>99612</v>
      </c>
      <c r="E30" s="89">
        <f t="shared" ref="E30:E46" si="7">1-D31/D30</f>
        <v>8.6334979721314209E-4</v>
      </c>
      <c r="F30" s="90">
        <f t="shared" ref="F30:F47" si="8">E30*(C30/B30)</f>
        <v>1.6403646147049699E-4</v>
      </c>
      <c r="G30" s="79">
        <f t="shared" ref="G30:G47" si="9">ROUND(F30*D30,0)</f>
        <v>16</v>
      </c>
      <c r="H30" s="88">
        <f>SUM(G30:$G$47)</f>
        <v>25856</v>
      </c>
      <c r="I30" s="88">
        <f t="shared" ref="I30:I47" si="10">D30*E30-G30</f>
        <v>69.999999999995509</v>
      </c>
      <c r="J30" s="91">
        <f>J29-I29</f>
        <v>73755.999999999971</v>
      </c>
      <c r="K30" s="91">
        <f t="shared" ref="K30:K46" si="11">(A30+(A31-A30)*0.5)*G30</f>
        <v>48</v>
      </c>
      <c r="L30" s="92">
        <f>2*F30/((2-F30)*(A31-A30))</f>
        <v>4.1012479138601265E-5</v>
      </c>
      <c r="M30" s="104"/>
      <c r="P30" s="101"/>
      <c r="Q30" s="102"/>
      <c r="R30" s="102"/>
      <c r="S30" s="103"/>
    </row>
    <row r="31" spans="1:19" ht="13">
      <c r="A31" s="79">
        <v>5</v>
      </c>
      <c r="B31" s="79">
        <v>222</v>
      </c>
      <c r="C31" s="88">
        <v>20.399999999999999</v>
      </c>
      <c r="D31" s="88">
        <v>99526</v>
      </c>
      <c r="E31" s="89">
        <f>1-D32/D31</f>
        <v>6.2295279625423916E-4</v>
      </c>
      <c r="F31" s="90">
        <f t="shared" si="8"/>
        <v>5.7244311007146295E-5</v>
      </c>
      <c r="G31" s="79">
        <f t="shared" si="9"/>
        <v>6</v>
      </c>
      <c r="H31" s="88">
        <f>SUM(G31:$G$47)</f>
        <v>25840</v>
      </c>
      <c r="I31" s="88">
        <f t="shared" si="10"/>
        <v>55.999999999999403</v>
      </c>
      <c r="J31" s="91">
        <f t="shared" ref="J31:J47" si="12">J30-I30</f>
        <v>73685.999999999971</v>
      </c>
      <c r="K31" s="91">
        <f t="shared" si="11"/>
        <v>45</v>
      </c>
      <c r="L31" s="92">
        <f t="shared" ref="L31:L46" si="13">2*F31/((2-F31)*(A32-A31))</f>
        <v>1.1449189901923022E-5</v>
      </c>
      <c r="P31" s="101"/>
      <c r="Q31" s="102"/>
      <c r="R31" s="102"/>
      <c r="S31" s="103"/>
    </row>
    <row r="32" spans="1:19" ht="13">
      <c r="A32" s="79">
        <v>10</v>
      </c>
      <c r="B32" s="79">
        <v>240</v>
      </c>
      <c r="C32" s="88">
        <v>43.2</v>
      </c>
      <c r="D32" s="88">
        <v>99464</v>
      </c>
      <c r="E32" s="89">
        <f>1-D33/D32</f>
        <v>6.3339499718495507E-4</v>
      </c>
      <c r="F32" s="90">
        <f>E32*(C32/B32)</f>
        <v>1.1401109949329193E-4</v>
      </c>
      <c r="G32" s="79">
        <f t="shared" si="9"/>
        <v>11</v>
      </c>
      <c r="H32" s="88">
        <f>SUM(G32:$G$47)</f>
        <v>25834</v>
      </c>
      <c r="I32" s="88">
        <f t="shared" si="10"/>
        <v>52.00000000000437</v>
      </c>
      <c r="J32" s="91">
        <f t="shared" si="12"/>
        <v>73629.999999999971</v>
      </c>
      <c r="K32" s="91">
        <f t="shared" si="11"/>
        <v>137.5</v>
      </c>
      <c r="L32" s="92">
        <f t="shared" si="13"/>
        <v>2.2803519825842217E-5</v>
      </c>
      <c r="P32" s="101"/>
      <c r="Q32" s="102"/>
      <c r="R32" s="102"/>
      <c r="S32" s="103"/>
    </row>
    <row r="33" spans="1:19" ht="13">
      <c r="A33" s="79">
        <v>15</v>
      </c>
      <c r="B33" s="79">
        <v>540</v>
      </c>
      <c r="C33" s="88">
        <v>97.2</v>
      </c>
      <c r="D33" s="88">
        <v>99401</v>
      </c>
      <c r="E33" s="89">
        <f t="shared" si="7"/>
        <v>1.3983762738805083E-3</v>
      </c>
      <c r="F33" s="90">
        <f t="shared" si="8"/>
        <v>2.5170772929849149E-4</v>
      </c>
      <c r="G33" s="79">
        <f t="shared" si="9"/>
        <v>25</v>
      </c>
      <c r="H33" s="88">
        <f>SUM(G33:$G$47)</f>
        <v>25823</v>
      </c>
      <c r="I33" s="88">
        <f t="shared" si="10"/>
        <v>113.99999999999642</v>
      </c>
      <c r="J33" s="91">
        <f t="shared" si="12"/>
        <v>73577.999999999971</v>
      </c>
      <c r="K33" s="91">
        <f t="shared" si="11"/>
        <v>437.5</v>
      </c>
      <c r="L33" s="92">
        <f t="shared" si="13"/>
        <v>5.0347882335267096E-5</v>
      </c>
      <c r="P33" s="101"/>
      <c r="Q33" s="102"/>
      <c r="R33" s="102"/>
      <c r="S33" s="103"/>
    </row>
    <row r="34" spans="1:19" ht="13">
      <c r="A34" s="79">
        <v>20</v>
      </c>
      <c r="B34" s="79">
        <v>703</v>
      </c>
      <c r="C34" s="88">
        <v>98.42</v>
      </c>
      <c r="D34" s="88">
        <v>99262</v>
      </c>
      <c r="E34" s="89">
        <f t="shared" si="7"/>
        <v>1.9040519030444347E-3</v>
      </c>
      <c r="F34" s="90">
        <f t="shared" si="8"/>
        <v>2.6656726642622087E-4</v>
      </c>
      <c r="G34" s="79">
        <f t="shared" si="9"/>
        <v>26</v>
      </c>
      <c r="H34" s="88">
        <f>SUM(G34:$G$47)</f>
        <v>25798</v>
      </c>
      <c r="I34" s="88">
        <f t="shared" si="10"/>
        <v>162.99999999999667</v>
      </c>
      <c r="J34" s="91">
        <f t="shared" si="12"/>
        <v>73463.999999999971</v>
      </c>
      <c r="K34" s="91">
        <f t="shared" si="11"/>
        <v>585</v>
      </c>
      <c r="L34" s="92">
        <f t="shared" si="13"/>
        <v>5.3320560043211687E-5</v>
      </c>
      <c r="P34" s="101"/>
      <c r="Q34" s="102"/>
      <c r="R34" s="102"/>
      <c r="S34" s="103"/>
    </row>
    <row r="35" spans="1:19" ht="13">
      <c r="A35" s="79">
        <v>25</v>
      </c>
      <c r="B35" s="79">
        <v>874</v>
      </c>
      <c r="C35" s="88">
        <v>122.36</v>
      </c>
      <c r="D35" s="88">
        <v>99073</v>
      </c>
      <c r="E35" s="89">
        <f t="shared" si="7"/>
        <v>2.089368445489681E-3</v>
      </c>
      <c r="F35" s="90">
        <f t="shared" si="8"/>
        <v>2.9251158236855531E-4</v>
      </c>
      <c r="G35" s="79">
        <f t="shared" si="9"/>
        <v>29</v>
      </c>
      <c r="H35" s="88">
        <f>SUM(G35:$G$47)</f>
        <v>25772</v>
      </c>
      <c r="I35" s="88">
        <f t="shared" si="10"/>
        <v>177.99999999999918</v>
      </c>
      <c r="J35" s="91">
        <f t="shared" si="12"/>
        <v>73300.999999999971</v>
      </c>
      <c r="K35" s="91">
        <f t="shared" si="11"/>
        <v>797.5</v>
      </c>
      <c r="L35" s="92">
        <f t="shared" si="13"/>
        <v>5.8510874027884892E-5</v>
      </c>
      <c r="P35" s="101"/>
      <c r="Q35" s="102"/>
      <c r="R35" s="102"/>
      <c r="S35" s="103"/>
    </row>
    <row r="36" spans="1:19" ht="13">
      <c r="A36" s="79">
        <v>30</v>
      </c>
      <c r="B36" s="79">
        <v>1212</v>
      </c>
      <c r="C36" s="88">
        <v>484.8</v>
      </c>
      <c r="D36" s="88">
        <v>98866</v>
      </c>
      <c r="E36" s="89">
        <f t="shared" si="7"/>
        <v>2.811886796269647E-3</v>
      </c>
      <c r="F36" s="90">
        <f t="shared" si="8"/>
        <v>1.1247547185078588E-3</v>
      </c>
      <c r="G36" s="79">
        <f t="shared" si="9"/>
        <v>111</v>
      </c>
      <c r="H36" s="88">
        <f>SUM(G36:$G$47)</f>
        <v>25743</v>
      </c>
      <c r="I36" s="88">
        <f t="shared" si="10"/>
        <v>166.99999999999494</v>
      </c>
      <c r="J36" s="91">
        <f t="shared" si="12"/>
        <v>73122.999999999971</v>
      </c>
      <c r="K36" s="91">
        <f t="shared" si="11"/>
        <v>3607.5</v>
      </c>
      <c r="L36" s="92">
        <f t="shared" si="13"/>
        <v>2.2507752220413634E-4</v>
      </c>
      <c r="P36" s="101"/>
      <c r="Q36" s="102"/>
      <c r="R36" s="102"/>
      <c r="S36" s="103"/>
    </row>
    <row r="37" spans="1:19" ht="13">
      <c r="A37" s="79">
        <v>35</v>
      </c>
      <c r="B37" s="79">
        <v>1937</v>
      </c>
      <c r="C37" s="88">
        <v>774.8</v>
      </c>
      <c r="D37" s="88">
        <v>98588</v>
      </c>
      <c r="E37" s="89">
        <f t="shared" si="7"/>
        <v>4.4224449223029261E-3</v>
      </c>
      <c r="F37" s="90">
        <f t="shared" si="8"/>
        <v>1.7689779689211702E-3</v>
      </c>
      <c r="G37" s="79">
        <f t="shared" si="9"/>
        <v>174</v>
      </c>
      <c r="H37" s="88">
        <f>SUM(G37:$G$47)</f>
        <v>25632</v>
      </c>
      <c r="I37" s="88">
        <f t="shared" si="10"/>
        <v>262.00000000000085</v>
      </c>
      <c r="J37" s="91">
        <f t="shared" si="12"/>
        <v>72955.999999999971</v>
      </c>
      <c r="K37" s="91">
        <f t="shared" si="11"/>
        <v>6525</v>
      </c>
      <c r="L37" s="92">
        <f t="shared" si="13"/>
        <v>3.5410879911635306E-4</v>
      </c>
      <c r="P37" s="101"/>
      <c r="Q37" s="102"/>
      <c r="R37" s="102"/>
      <c r="S37" s="103"/>
    </row>
    <row r="38" spans="1:19" ht="12">
      <c r="A38" s="79">
        <v>40</v>
      </c>
      <c r="B38" s="79">
        <v>3029</v>
      </c>
      <c r="C38" s="88">
        <v>1484.21</v>
      </c>
      <c r="D38" s="88">
        <v>98152</v>
      </c>
      <c r="E38" s="89">
        <f t="shared" si="7"/>
        <v>7.0401010677316744E-3</v>
      </c>
      <c r="F38" s="90">
        <f t="shared" si="8"/>
        <v>3.4496495231885202E-3</v>
      </c>
      <c r="G38" s="79">
        <f t="shared" si="9"/>
        <v>339</v>
      </c>
      <c r="H38" s="88">
        <f>SUM(G38:$G$47)</f>
        <v>25458</v>
      </c>
      <c r="I38" s="88">
        <f t="shared" si="10"/>
        <v>351.99999999999932</v>
      </c>
      <c r="J38" s="91">
        <f t="shared" si="12"/>
        <v>72693.999999999971</v>
      </c>
      <c r="K38" s="91">
        <f t="shared" si="11"/>
        <v>14407.5</v>
      </c>
      <c r="L38" s="92">
        <f t="shared" si="13"/>
        <v>6.9112196892298422E-4</v>
      </c>
    </row>
    <row r="39" spans="1:19" ht="12">
      <c r="A39" s="79">
        <v>45</v>
      </c>
      <c r="B39" s="79">
        <v>4376</v>
      </c>
      <c r="C39" s="88">
        <v>2188</v>
      </c>
      <c r="D39" s="88">
        <v>97461</v>
      </c>
      <c r="E39" s="89">
        <f t="shared" si="7"/>
        <v>1.0219472404346397E-2</v>
      </c>
      <c r="F39" s="90">
        <f t="shared" si="8"/>
        <v>5.1097362021731985E-3</v>
      </c>
      <c r="G39" s="79">
        <f t="shared" si="9"/>
        <v>498</v>
      </c>
      <c r="H39" s="88">
        <f>SUM(G39:$G$47)</f>
        <v>25119</v>
      </c>
      <c r="I39" s="88">
        <f t="shared" si="10"/>
        <v>498.00000000000421</v>
      </c>
      <c r="J39" s="91">
        <f t="shared" si="12"/>
        <v>72341.999999999971</v>
      </c>
      <c r="K39" s="91">
        <f t="shared" si="11"/>
        <v>23655</v>
      </c>
      <c r="L39" s="92">
        <f t="shared" si="13"/>
        <v>1.0245648685347532E-3</v>
      </c>
    </row>
    <row r="40" spans="1:19" ht="12">
      <c r="A40" s="79">
        <v>50</v>
      </c>
      <c r="B40" s="79">
        <v>5515</v>
      </c>
      <c r="C40" s="88">
        <v>3088.4</v>
      </c>
      <c r="D40" s="88">
        <v>96465</v>
      </c>
      <c r="E40" s="89">
        <f t="shared" si="7"/>
        <v>1.4399004820401129E-2</v>
      </c>
      <c r="F40" s="90">
        <f t="shared" si="8"/>
        <v>8.0634426994246333E-3</v>
      </c>
      <c r="G40" s="79">
        <f t="shared" si="9"/>
        <v>778</v>
      </c>
      <c r="H40" s="88">
        <f>SUM(G40:$G$47)</f>
        <v>24621</v>
      </c>
      <c r="I40" s="88">
        <f t="shared" si="10"/>
        <v>610.999999999995</v>
      </c>
      <c r="J40" s="91">
        <f t="shared" si="12"/>
        <v>71843.999999999971</v>
      </c>
      <c r="K40" s="91">
        <f t="shared" si="11"/>
        <v>40845</v>
      </c>
      <c r="L40" s="92">
        <f t="shared" si="13"/>
        <v>1.6192167707092071E-3</v>
      </c>
    </row>
    <row r="41" spans="1:19" ht="12">
      <c r="A41" s="79">
        <v>55</v>
      </c>
      <c r="B41" s="79">
        <v>5394</v>
      </c>
      <c r="C41" s="88">
        <v>3020.64</v>
      </c>
      <c r="D41" s="88">
        <v>95076</v>
      </c>
      <c r="E41" s="89">
        <f t="shared" si="7"/>
        <v>1.9468635617821528E-2</v>
      </c>
      <c r="F41" s="90">
        <f t="shared" si="8"/>
        <v>1.0902435945980055E-2</v>
      </c>
      <c r="G41" s="79">
        <f t="shared" si="9"/>
        <v>1037</v>
      </c>
      <c r="H41" s="88">
        <f>SUM(G41:$G$47)</f>
        <v>23843</v>
      </c>
      <c r="I41" s="88">
        <f t="shared" si="10"/>
        <v>813.99999999999955</v>
      </c>
      <c r="J41" s="91">
        <f t="shared" si="12"/>
        <v>71232.999999999971</v>
      </c>
      <c r="K41" s="91">
        <f t="shared" si="11"/>
        <v>59627.5</v>
      </c>
      <c r="L41" s="92">
        <f t="shared" si="13"/>
        <v>2.1924386501704983E-3</v>
      </c>
    </row>
    <row r="42" spans="1:19" ht="12">
      <c r="A42" s="79">
        <v>60</v>
      </c>
      <c r="B42" s="79">
        <v>8102</v>
      </c>
      <c r="C42" s="88">
        <v>4018.5920000000001</v>
      </c>
      <c r="D42" s="88">
        <v>93225</v>
      </c>
      <c r="E42" s="89">
        <f t="shared" si="7"/>
        <v>2.8114776079377846E-2</v>
      </c>
      <c r="F42" s="90">
        <f t="shared" si="8"/>
        <v>1.3944928935371411E-2</v>
      </c>
      <c r="G42" s="79">
        <f t="shared" si="9"/>
        <v>1300</v>
      </c>
      <c r="H42" s="88">
        <f>SUM(G42:$G$47)</f>
        <v>22806</v>
      </c>
      <c r="I42" s="88">
        <f t="shared" si="10"/>
        <v>1320.9999999999995</v>
      </c>
      <c r="J42" s="91">
        <f t="shared" si="12"/>
        <v>70418.999999999971</v>
      </c>
      <c r="K42" s="91">
        <f t="shared" si="11"/>
        <v>81250</v>
      </c>
      <c r="L42" s="92">
        <f t="shared" si="13"/>
        <v>2.8085684306621375E-3</v>
      </c>
    </row>
    <row r="43" spans="1:19" ht="12">
      <c r="A43" s="79">
        <v>65</v>
      </c>
      <c r="B43" s="79">
        <v>13012</v>
      </c>
      <c r="C43" s="88">
        <v>6453.9520000000002</v>
      </c>
      <c r="D43" s="88">
        <v>90604</v>
      </c>
      <c r="E43" s="89">
        <f t="shared" si="7"/>
        <v>4.2989271996821343E-2</v>
      </c>
      <c r="F43" s="90">
        <f t="shared" si="8"/>
        <v>2.1322678910423387E-2</v>
      </c>
      <c r="G43" s="79">
        <f t="shared" si="9"/>
        <v>1932</v>
      </c>
      <c r="H43" s="88">
        <f>SUM(G43:$G$47)</f>
        <v>21506</v>
      </c>
      <c r="I43" s="88">
        <f t="shared" si="10"/>
        <v>1963.0000000000009</v>
      </c>
      <c r="J43" s="91">
        <f t="shared" si="12"/>
        <v>69097.999999999971</v>
      </c>
      <c r="K43" s="91">
        <f t="shared" si="11"/>
        <v>130410</v>
      </c>
      <c r="L43" s="92">
        <f t="shared" si="13"/>
        <v>4.310491394055471E-3</v>
      </c>
    </row>
    <row r="44" spans="1:19" ht="12">
      <c r="A44" s="79">
        <v>70</v>
      </c>
      <c r="B44" s="79">
        <v>20582</v>
      </c>
      <c r="C44" s="88">
        <v>6853.8060000000005</v>
      </c>
      <c r="D44" s="88">
        <v>86709</v>
      </c>
      <c r="E44" s="89">
        <f t="shared" si="7"/>
        <v>7.1653461578382815E-2</v>
      </c>
      <c r="F44" s="90">
        <f t="shared" si="8"/>
        <v>2.3860602705601478E-2</v>
      </c>
      <c r="G44" s="79">
        <f t="shared" si="9"/>
        <v>2069</v>
      </c>
      <c r="H44" s="88">
        <f>SUM(G44:$G$47)</f>
        <v>19574</v>
      </c>
      <c r="I44" s="88">
        <f t="shared" si="10"/>
        <v>4143.9999999999955</v>
      </c>
      <c r="J44" s="91">
        <f t="shared" si="12"/>
        <v>67134.999999999971</v>
      </c>
      <c r="K44" s="91">
        <f t="shared" si="11"/>
        <v>150002.5</v>
      </c>
      <c r="L44" s="92">
        <f t="shared" si="13"/>
        <v>4.8297408043723768E-3</v>
      </c>
    </row>
    <row r="45" spans="1:19" ht="12">
      <c r="A45" s="79">
        <v>75</v>
      </c>
      <c r="B45" s="79">
        <v>33834</v>
      </c>
      <c r="C45" s="88">
        <v>11266.722</v>
      </c>
      <c r="D45" s="88">
        <v>80496</v>
      </c>
      <c r="E45" s="89">
        <f t="shared" si="7"/>
        <v>0.13132329556748157</v>
      </c>
      <c r="F45" s="90">
        <f t="shared" si="8"/>
        <v>4.3730657423971364E-2</v>
      </c>
      <c r="G45" s="79">
        <f t="shared" si="9"/>
        <v>3520</v>
      </c>
      <c r="H45" s="88">
        <f>SUM(G45:$G$47)</f>
        <v>17505</v>
      </c>
      <c r="I45" s="88">
        <f t="shared" si="10"/>
        <v>7050.9999999999964</v>
      </c>
      <c r="J45" s="91">
        <f t="shared" si="12"/>
        <v>62990.999999999978</v>
      </c>
      <c r="K45" s="91">
        <f t="shared" si="11"/>
        <v>272800</v>
      </c>
      <c r="L45" s="92">
        <f t="shared" si="13"/>
        <v>8.9416434582339343E-3</v>
      </c>
    </row>
    <row r="46" spans="1:19" ht="12">
      <c r="A46" s="79">
        <v>80</v>
      </c>
      <c r="B46" s="79">
        <v>31182</v>
      </c>
      <c r="C46" s="88">
        <v>6236.4</v>
      </c>
      <c r="D46" s="88">
        <v>69925</v>
      </c>
      <c r="E46" s="89">
        <f t="shared" si="7"/>
        <v>0.23682516982481228</v>
      </c>
      <c r="F46" s="90">
        <f t="shared" si="8"/>
        <v>4.7365033964962451E-2</v>
      </c>
      <c r="G46" s="79">
        <f t="shared" si="9"/>
        <v>3312</v>
      </c>
      <c r="H46" s="88">
        <f>SUM(G46:$G$47)</f>
        <v>13985</v>
      </c>
      <c r="I46" s="88">
        <f t="shared" si="10"/>
        <v>13248</v>
      </c>
      <c r="J46" s="91">
        <f t="shared" si="12"/>
        <v>55939.999999999985</v>
      </c>
      <c r="K46" s="91">
        <f t="shared" si="11"/>
        <v>273240</v>
      </c>
      <c r="L46" s="92">
        <f t="shared" si="13"/>
        <v>9.7027933615550233E-3</v>
      </c>
    </row>
    <row r="47" spans="1:19" ht="12">
      <c r="A47" s="79">
        <v>85</v>
      </c>
      <c r="B47" s="79">
        <v>130264</v>
      </c>
      <c r="C47" s="88">
        <v>26052.799999999999</v>
      </c>
      <c r="D47" s="88">
        <v>53365</v>
      </c>
      <c r="E47" s="89">
        <f>1-D48/D47</f>
        <v>1</v>
      </c>
      <c r="F47" s="90">
        <f t="shared" si="8"/>
        <v>0.19999999999999998</v>
      </c>
      <c r="G47" s="79">
        <f t="shared" si="9"/>
        <v>10673</v>
      </c>
      <c r="H47" s="88">
        <f>SUM(G47:$G$47)</f>
        <v>10673</v>
      </c>
      <c r="I47" s="88">
        <f t="shared" si="10"/>
        <v>42692</v>
      </c>
      <c r="J47" s="91">
        <f t="shared" si="12"/>
        <v>42691.999999999985</v>
      </c>
      <c r="K47" s="91">
        <f>(A47+6.5)*G47</f>
        <v>976579.5</v>
      </c>
      <c r="L47" s="92">
        <f>2*F47/((2-F47)*5.27)</f>
        <v>4.2167404596247106E-2</v>
      </c>
    </row>
    <row r="48" spans="1:19" ht="12">
      <c r="A48" s="96" t="s">
        <v>21</v>
      </c>
      <c r="B48" s="88">
        <f>SUM(B29:B47)</f>
        <v>262695</v>
      </c>
      <c r="C48" s="88">
        <f>SUM(C29:C47)</f>
        <v>72377.581999999995</v>
      </c>
      <c r="D48" s="79"/>
      <c r="E48" s="98"/>
      <c r="F48" s="90"/>
      <c r="G48" s="79"/>
      <c r="H48" s="88"/>
      <c r="I48" s="79"/>
      <c r="J48" s="79"/>
      <c r="K48" s="91">
        <f>SUM(K29:K47)</f>
        <v>2035002</v>
      </c>
      <c r="L48" s="79"/>
    </row>
    <row r="49" spans="1:12" ht="12">
      <c r="A49" s="79"/>
      <c r="B49" s="79"/>
      <c r="C49" s="79"/>
      <c r="D49" s="79"/>
      <c r="E49" s="79"/>
      <c r="F49" s="79"/>
      <c r="G49" s="79"/>
      <c r="H49" s="79"/>
      <c r="I49" s="79"/>
      <c r="J49" s="96" t="s">
        <v>126</v>
      </c>
      <c r="K49" s="100">
        <f>K48/H29</f>
        <v>78.693039443155456</v>
      </c>
      <c r="L49" s="79"/>
    </row>
    <row r="53" spans="1:12">
      <c r="A53" s="93"/>
      <c r="B53" s="94"/>
      <c r="C53" s="105"/>
    </row>
    <row r="54" spans="1:12">
      <c r="A54" s="93"/>
      <c r="B54" s="94"/>
      <c r="C54" s="105"/>
    </row>
    <row r="55" spans="1:12">
      <c r="A55" s="93"/>
      <c r="B55" s="94"/>
      <c r="C55" s="105"/>
    </row>
    <row r="56" spans="1:12">
      <c r="A56" s="93"/>
      <c r="B56" s="94"/>
      <c r="C56" s="105"/>
    </row>
    <row r="57" spans="1:12">
      <c r="A57" s="93"/>
      <c r="B57" s="94"/>
      <c r="C57" s="105"/>
    </row>
    <row r="58" spans="1:12">
      <c r="A58" s="93"/>
      <c r="B58" s="94"/>
      <c r="C58" s="105"/>
    </row>
    <row r="59" spans="1:12">
      <c r="A59" s="93"/>
      <c r="B59" s="94"/>
      <c r="C59" s="105"/>
    </row>
    <row r="60" spans="1:12">
      <c r="A60" s="93"/>
      <c r="B60" s="94"/>
      <c r="C60" s="105"/>
    </row>
    <row r="61" spans="1:12">
      <c r="A61" s="93"/>
      <c r="B61" s="94"/>
      <c r="C61" s="105"/>
    </row>
    <row r="62" spans="1:12">
      <c r="A62" s="93"/>
      <c r="B62" s="94"/>
      <c r="C62" s="105"/>
    </row>
    <row r="63" spans="1:12">
      <c r="A63" s="93"/>
      <c r="B63" s="94"/>
      <c r="C63" s="105"/>
    </row>
    <row r="64" spans="1:12">
      <c r="A64" s="93"/>
      <c r="B64" s="94"/>
      <c r="C64" s="105"/>
    </row>
    <row r="65" spans="1:3">
      <c r="A65" s="93"/>
      <c r="B65" s="94"/>
      <c r="C65" s="105"/>
    </row>
    <row r="66" spans="1:3">
      <c r="A66" s="93"/>
      <c r="B66" s="94"/>
      <c r="C66" s="105"/>
    </row>
    <row r="67" spans="1:3">
      <c r="A67" s="93"/>
      <c r="B67" s="94"/>
      <c r="C67" s="105"/>
    </row>
    <row r="68" spans="1:3">
      <c r="A68" s="93"/>
      <c r="B68" s="94"/>
      <c r="C68" s="105"/>
    </row>
    <row r="69" spans="1:3">
      <c r="A69" s="93"/>
      <c r="B69" s="94"/>
      <c r="C69" s="105"/>
    </row>
    <row r="70" spans="1:3">
      <c r="A70" s="93"/>
      <c r="B70" s="94"/>
      <c r="C70" s="105"/>
    </row>
    <row r="71" spans="1:3">
      <c r="A71" s="93"/>
      <c r="B71" s="94"/>
      <c r="C71" s="105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X54"/>
  <sheetViews>
    <sheetView topLeftCell="J1" workbookViewId="0">
      <selection activeCell="V29" sqref="V29:W29"/>
    </sheetView>
  </sheetViews>
  <sheetFormatPr baseColWidth="10" defaultRowHeight="12.5"/>
  <cols>
    <col min="13" max="13" width="13" bestFit="1" customWidth="1"/>
  </cols>
  <sheetData>
    <row r="2" spans="1:24">
      <c r="S2" s="68"/>
    </row>
    <row r="3" spans="1:24">
      <c r="A3" s="68">
        <v>1999</v>
      </c>
      <c r="B3">
        <v>0</v>
      </c>
      <c r="C3">
        <v>3.8899999999999998E-3</v>
      </c>
      <c r="D3">
        <v>3.8800000000000002E-3</v>
      </c>
      <c r="E3">
        <v>0.06</v>
      </c>
      <c r="F3">
        <v>100000</v>
      </c>
      <c r="G3">
        <v>388</v>
      </c>
      <c r="H3">
        <v>99637</v>
      </c>
      <c r="I3">
        <v>8252378</v>
      </c>
      <c r="J3">
        <v>82.52</v>
      </c>
      <c r="L3">
        <v>3.8799999999999946E-3</v>
      </c>
      <c r="M3" s="71">
        <f>L3-D3</f>
        <v>-5.6378512969246231E-18</v>
      </c>
      <c r="N3">
        <v>99635</v>
      </c>
      <c r="O3">
        <f>N3-H3</f>
        <v>-2</v>
      </c>
      <c r="S3" s="68"/>
      <c r="T3">
        <v>1999</v>
      </c>
      <c r="U3">
        <v>0</v>
      </c>
      <c r="V3">
        <v>353888.17</v>
      </c>
      <c r="W3">
        <v>371575.67</v>
      </c>
      <c r="X3">
        <v>725463.83</v>
      </c>
    </row>
    <row r="4" spans="1:24">
      <c r="A4">
        <v>1999</v>
      </c>
      <c r="B4" s="69">
        <v>42461</v>
      </c>
      <c r="C4">
        <v>2.2000000000000001E-4</v>
      </c>
      <c r="D4">
        <v>8.7000000000000001E-4</v>
      </c>
      <c r="E4">
        <v>1.52</v>
      </c>
      <c r="F4">
        <v>99612</v>
      </c>
      <c r="G4">
        <v>86</v>
      </c>
      <c r="H4">
        <v>398236</v>
      </c>
      <c r="I4">
        <v>8152741</v>
      </c>
      <c r="J4">
        <v>81.84</v>
      </c>
      <c r="L4">
        <v>8.332329438219821E-4</v>
      </c>
      <c r="M4" s="71">
        <f t="shared" ref="M4:M20" si="0">L4-D4</f>
        <v>-3.6767056178017908E-5</v>
      </c>
      <c r="N4">
        <v>398242</v>
      </c>
      <c r="O4">
        <f t="shared" ref="O4:O20" si="1">N4-H4</f>
        <v>6</v>
      </c>
      <c r="S4" s="68"/>
      <c r="T4">
        <v>1999</v>
      </c>
      <c r="U4" s="69">
        <v>42461</v>
      </c>
      <c r="V4">
        <v>1393276.5</v>
      </c>
      <c r="W4">
        <v>1463503.33</v>
      </c>
      <c r="X4">
        <v>2856779.83</v>
      </c>
    </row>
    <row r="5" spans="1:24">
      <c r="A5">
        <v>1999</v>
      </c>
      <c r="B5" s="69">
        <v>42618</v>
      </c>
      <c r="C5">
        <v>1.2E-4</v>
      </c>
      <c r="D5">
        <v>6.2E-4</v>
      </c>
      <c r="E5">
        <v>2.41</v>
      </c>
      <c r="F5">
        <v>99526</v>
      </c>
      <c r="G5">
        <v>62</v>
      </c>
      <c r="H5">
        <v>497470</v>
      </c>
      <c r="I5">
        <v>7754505</v>
      </c>
      <c r="J5">
        <v>77.91</v>
      </c>
      <c r="L5">
        <v>6.028393734489601E-4</v>
      </c>
      <c r="M5" s="71">
        <f t="shared" si="0"/>
        <v>-1.7160626551039897E-5</v>
      </c>
      <c r="N5">
        <v>497490</v>
      </c>
      <c r="O5">
        <f t="shared" si="1"/>
        <v>20</v>
      </c>
      <c r="S5" s="68"/>
      <c r="T5">
        <v>1999</v>
      </c>
      <c r="U5" s="69">
        <v>42618</v>
      </c>
      <c r="V5">
        <v>1789962.5</v>
      </c>
      <c r="W5">
        <v>1878240.83</v>
      </c>
      <c r="X5">
        <v>3668203.33</v>
      </c>
    </row>
    <row r="6" spans="1:24">
      <c r="A6">
        <v>1999</v>
      </c>
      <c r="B6" s="70">
        <v>41913</v>
      </c>
      <c r="C6">
        <v>1.2999999999999999E-4</v>
      </c>
      <c r="D6">
        <v>6.4000000000000005E-4</v>
      </c>
      <c r="E6">
        <v>2.57</v>
      </c>
      <c r="F6">
        <v>99464</v>
      </c>
      <c r="G6">
        <v>63</v>
      </c>
      <c r="H6">
        <v>497167</v>
      </c>
      <c r="I6">
        <v>7257035</v>
      </c>
      <c r="J6">
        <v>72.959999999999994</v>
      </c>
      <c r="L6">
        <v>6.4341654183719399E-4</v>
      </c>
      <c r="M6" s="71">
        <f t="shared" si="0"/>
        <v>3.4165418371939369E-6</v>
      </c>
      <c r="N6">
        <v>497189</v>
      </c>
      <c r="O6">
        <f t="shared" si="1"/>
        <v>22</v>
      </c>
      <c r="S6" s="68"/>
      <c r="T6">
        <v>1999</v>
      </c>
      <c r="U6" s="70">
        <v>41913</v>
      </c>
      <c r="V6">
        <v>1879650.83</v>
      </c>
      <c r="W6">
        <v>1967211.33</v>
      </c>
      <c r="X6">
        <v>3846862.17</v>
      </c>
    </row>
    <row r="7" spans="1:24">
      <c r="A7">
        <v>1999</v>
      </c>
      <c r="B7" t="s">
        <v>67</v>
      </c>
      <c r="C7">
        <v>2.7999999999999998E-4</v>
      </c>
      <c r="D7">
        <v>1.39E-3</v>
      </c>
      <c r="E7">
        <v>2.78</v>
      </c>
      <c r="F7">
        <v>99401</v>
      </c>
      <c r="G7">
        <v>139</v>
      </c>
      <c r="H7">
        <v>496696</v>
      </c>
      <c r="I7">
        <v>6759867</v>
      </c>
      <c r="J7">
        <v>68.010000000000005</v>
      </c>
      <c r="L7">
        <v>1.4184397163120588E-3</v>
      </c>
      <c r="M7" s="71">
        <f t="shared" si="0"/>
        <v>2.8439716312058825E-5</v>
      </c>
      <c r="N7">
        <v>496712</v>
      </c>
      <c r="O7">
        <f t="shared" si="1"/>
        <v>16</v>
      </c>
      <c r="S7" s="68"/>
      <c r="T7">
        <v>1999</v>
      </c>
      <c r="U7" t="s">
        <v>67</v>
      </c>
      <c r="V7">
        <v>1926838.17</v>
      </c>
      <c r="W7">
        <v>2008827.83</v>
      </c>
      <c r="X7">
        <v>3935666</v>
      </c>
    </row>
    <row r="8" spans="1:24">
      <c r="A8">
        <v>1999</v>
      </c>
      <c r="B8" t="s">
        <v>68</v>
      </c>
      <c r="C8">
        <v>3.8000000000000002E-4</v>
      </c>
      <c r="D8">
        <v>1.91E-3</v>
      </c>
      <c r="E8">
        <v>2.4300000000000002</v>
      </c>
      <c r="F8">
        <v>99262</v>
      </c>
      <c r="G8">
        <v>190</v>
      </c>
      <c r="H8">
        <v>495824</v>
      </c>
      <c r="I8">
        <v>6263171</v>
      </c>
      <c r="J8">
        <v>63.1</v>
      </c>
      <c r="L8">
        <v>1.9040135396518609E-3</v>
      </c>
      <c r="M8" s="71">
        <f t="shared" si="0"/>
        <v>-5.9864603481390912E-6</v>
      </c>
      <c r="N8">
        <v>495834</v>
      </c>
      <c r="O8">
        <f t="shared" si="1"/>
        <v>10</v>
      </c>
      <c r="S8" s="68"/>
      <c r="T8">
        <v>1999</v>
      </c>
      <c r="U8" t="s">
        <v>68</v>
      </c>
      <c r="V8">
        <v>1843974.17</v>
      </c>
      <c r="W8">
        <v>1872418</v>
      </c>
      <c r="X8">
        <v>3716392.17</v>
      </c>
    </row>
    <row r="9" spans="1:24">
      <c r="A9">
        <v>1999</v>
      </c>
      <c r="B9" t="s">
        <v>69</v>
      </c>
      <c r="C9">
        <v>4.2000000000000002E-4</v>
      </c>
      <c r="D9">
        <v>2.0799999999999998E-3</v>
      </c>
      <c r="E9">
        <v>2.54</v>
      </c>
      <c r="F9">
        <v>99073</v>
      </c>
      <c r="G9">
        <v>206</v>
      </c>
      <c r="H9">
        <v>494855</v>
      </c>
      <c r="I9">
        <v>5767348</v>
      </c>
      <c r="J9">
        <v>58.21</v>
      </c>
      <c r="L9">
        <v>2.0590461771384794E-3</v>
      </c>
      <c r="M9" s="71">
        <f t="shared" si="0"/>
        <v>-2.0953822861520446E-5</v>
      </c>
      <c r="N9">
        <v>494873</v>
      </c>
      <c r="O9">
        <f t="shared" si="1"/>
        <v>18</v>
      </c>
      <c r="S9" s="68"/>
      <c r="T9">
        <v>1999</v>
      </c>
      <c r="U9" t="s">
        <v>69</v>
      </c>
      <c r="V9">
        <v>2102395.67</v>
      </c>
      <c r="W9">
        <v>2101769.67</v>
      </c>
      <c r="X9">
        <v>4204165.33</v>
      </c>
    </row>
    <row r="10" spans="1:24">
      <c r="A10">
        <v>1999</v>
      </c>
      <c r="B10" t="s">
        <v>70</v>
      </c>
      <c r="C10">
        <v>5.5999999999999995E-4</v>
      </c>
      <c r="D10">
        <v>2.81E-3</v>
      </c>
      <c r="E10">
        <v>2.65</v>
      </c>
      <c r="F10">
        <v>98866</v>
      </c>
      <c r="G10">
        <v>278</v>
      </c>
      <c r="H10">
        <v>493679</v>
      </c>
      <c r="I10">
        <v>5272493</v>
      </c>
      <c r="J10">
        <v>53.33</v>
      </c>
      <c r="L10">
        <v>2.8522013532784607E-3</v>
      </c>
      <c r="M10" s="71">
        <f t="shared" si="0"/>
        <v>4.2201353278460696E-5</v>
      </c>
      <c r="N10">
        <v>493692</v>
      </c>
      <c r="O10">
        <f t="shared" si="1"/>
        <v>13</v>
      </c>
      <c r="S10" s="68"/>
      <c r="T10">
        <v>1999</v>
      </c>
      <c r="U10" t="s">
        <v>70</v>
      </c>
      <c r="V10">
        <v>2146445.83</v>
      </c>
      <c r="W10">
        <v>2125780.33</v>
      </c>
      <c r="X10">
        <v>4272226.17</v>
      </c>
    </row>
    <row r="11" spans="1:24">
      <c r="A11">
        <v>1999</v>
      </c>
      <c r="B11" t="s">
        <v>71</v>
      </c>
      <c r="C11">
        <v>8.8999999999999995E-4</v>
      </c>
      <c r="D11">
        <v>4.4200000000000003E-3</v>
      </c>
      <c r="E11">
        <v>2.64</v>
      </c>
      <c r="F11">
        <v>98588</v>
      </c>
      <c r="G11">
        <v>436</v>
      </c>
      <c r="H11">
        <v>491912</v>
      </c>
      <c r="I11">
        <v>4778813</v>
      </c>
      <c r="J11">
        <v>48.47</v>
      </c>
      <c r="L11">
        <v>4.3919707066710778E-3</v>
      </c>
      <c r="M11" s="71">
        <f t="shared" si="0"/>
        <v>-2.8029293328922511E-5</v>
      </c>
      <c r="N11">
        <v>491923</v>
      </c>
      <c r="O11">
        <f t="shared" si="1"/>
        <v>11</v>
      </c>
      <c r="S11" s="68"/>
      <c r="T11">
        <v>1999</v>
      </c>
      <c r="U11" t="s">
        <v>71</v>
      </c>
      <c r="V11">
        <v>2186476.83</v>
      </c>
      <c r="W11">
        <v>2145168.67</v>
      </c>
      <c r="X11">
        <v>4331645.5</v>
      </c>
    </row>
    <row r="12" spans="1:24">
      <c r="A12">
        <v>1999</v>
      </c>
      <c r="B12" t="s">
        <v>72</v>
      </c>
      <c r="C12">
        <v>1.41E-3</v>
      </c>
      <c r="D12">
        <v>7.0400000000000003E-3</v>
      </c>
      <c r="E12">
        <v>2.63</v>
      </c>
      <c r="F12">
        <v>98152</v>
      </c>
      <c r="G12">
        <v>691</v>
      </c>
      <c r="H12">
        <v>489122</v>
      </c>
      <c r="I12">
        <v>4286901</v>
      </c>
      <c r="J12">
        <v>43.68</v>
      </c>
      <c r="L12">
        <v>7.0601899017890268E-3</v>
      </c>
      <c r="M12" s="71">
        <f t="shared" si="0"/>
        <v>2.0189901789026583E-5</v>
      </c>
      <c r="N12">
        <v>489138</v>
      </c>
      <c r="O12">
        <f t="shared" si="1"/>
        <v>16</v>
      </c>
      <c r="S12" s="68"/>
      <c r="T12">
        <v>1999</v>
      </c>
      <c r="U12" t="s">
        <v>72</v>
      </c>
      <c r="V12">
        <v>2145880</v>
      </c>
      <c r="W12">
        <v>2091607.83</v>
      </c>
      <c r="X12">
        <v>4237487.83</v>
      </c>
    </row>
    <row r="13" spans="1:24">
      <c r="A13">
        <v>1999</v>
      </c>
      <c r="B13" t="s">
        <v>73</v>
      </c>
      <c r="C13">
        <v>2.0600000000000002E-3</v>
      </c>
      <c r="D13">
        <v>1.023E-2</v>
      </c>
      <c r="E13">
        <v>2.63</v>
      </c>
      <c r="F13">
        <v>97461</v>
      </c>
      <c r="G13">
        <v>997</v>
      </c>
      <c r="H13">
        <v>484948</v>
      </c>
      <c r="I13">
        <v>3797780</v>
      </c>
      <c r="J13">
        <v>38.97</v>
      </c>
      <c r="L13">
        <v>1.0301345125842576E-2</v>
      </c>
      <c r="M13" s="71">
        <f t="shared" si="0"/>
        <v>7.1345125842576379E-5</v>
      </c>
      <c r="N13">
        <v>484936</v>
      </c>
      <c r="O13">
        <f t="shared" si="1"/>
        <v>-12</v>
      </c>
      <c r="S13" s="68"/>
      <c r="T13">
        <v>1999</v>
      </c>
      <c r="U13" t="s">
        <v>73</v>
      </c>
      <c r="V13">
        <v>2128346.17</v>
      </c>
      <c r="W13">
        <v>2099191.5</v>
      </c>
      <c r="X13">
        <v>4227537.67</v>
      </c>
    </row>
    <row r="14" spans="1:24">
      <c r="A14">
        <v>1999</v>
      </c>
      <c r="B14" t="s">
        <v>74</v>
      </c>
      <c r="C14">
        <v>2.8999999999999998E-3</v>
      </c>
      <c r="D14">
        <v>1.44E-2</v>
      </c>
      <c r="E14">
        <v>2.63</v>
      </c>
      <c r="F14">
        <v>96465</v>
      </c>
      <c r="G14">
        <v>1389</v>
      </c>
      <c r="H14">
        <v>479026</v>
      </c>
      <c r="I14">
        <v>3312831</v>
      </c>
      <c r="J14">
        <v>34.340000000000003</v>
      </c>
      <c r="L14">
        <v>1.4358432079951022E-2</v>
      </c>
      <c r="M14" s="71">
        <f t="shared" si="0"/>
        <v>-4.1567920048977275E-5</v>
      </c>
      <c r="N14">
        <v>479013</v>
      </c>
      <c r="O14">
        <f t="shared" si="1"/>
        <v>-13</v>
      </c>
      <c r="S14" s="68"/>
      <c r="T14">
        <v>1999</v>
      </c>
      <c r="U14" t="s">
        <v>74</v>
      </c>
      <c r="V14">
        <v>1922765.5</v>
      </c>
      <c r="W14">
        <v>1920669.33</v>
      </c>
      <c r="X14">
        <v>3843434.83</v>
      </c>
    </row>
    <row r="15" spans="1:24">
      <c r="A15">
        <v>1999</v>
      </c>
      <c r="B15" t="s">
        <v>75</v>
      </c>
      <c r="C15">
        <v>3.9300000000000003E-3</v>
      </c>
      <c r="D15">
        <v>1.9460000000000002E-2</v>
      </c>
      <c r="E15">
        <v>2.61</v>
      </c>
      <c r="F15">
        <v>95076</v>
      </c>
      <c r="G15">
        <v>1850</v>
      </c>
      <c r="H15">
        <v>470959</v>
      </c>
      <c r="I15">
        <v>2833806</v>
      </c>
      <c r="J15">
        <v>29.81</v>
      </c>
      <c r="L15">
        <v>1.9616298882975336E-2</v>
      </c>
      <c r="M15" s="71">
        <f t="shared" si="0"/>
        <v>1.5629888297533437E-4</v>
      </c>
      <c r="N15">
        <v>470913</v>
      </c>
      <c r="O15">
        <f t="shared" si="1"/>
        <v>-46</v>
      </c>
      <c r="S15" s="68"/>
      <c r="T15">
        <v>1999</v>
      </c>
      <c r="U15" t="s">
        <v>75</v>
      </c>
      <c r="V15">
        <v>1376289.67</v>
      </c>
      <c r="W15">
        <v>1352614.67</v>
      </c>
      <c r="X15">
        <v>2728904.33</v>
      </c>
    </row>
    <row r="16" spans="1:24">
      <c r="A16">
        <v>1999</v>
      </c>
      <c r="B16" t="s">
        <v>76</v>
      </c>
      <c r="C16">
        <v>5.7000000000000002E-3</v>
      </c>
      <c r="D16">
        <v>2.8119999999999999E-2</v>
      </c>
      <c r="E16">
        <v>2.62</v>
      </c>
      <c r="F16">
        <v>93225</v>
      </c>
      <c r="G16">
        <v>2622</v>
      </c>
      <c r="H16">
        <v>459879</v>
      </c>
      <c r="I16">
        <v>2362846</v>
      </c>
      <c r="J16">
        <v>25.35</v>
      </c>
      <c r="L16">
        <v>2.8033773562638808E-2</v>
      </c>
      <c r="M16" s="71">
        <f t="shared" si="0"/>
        <v>-8.6226437361190678E-5</v>
      </c>
      <c r="N16">
        <v>459826</v>
      </c>
      <c r="O16">
        <f t="shared" si="1"/>
        <v>-53</v>
      </c>
      <c r="S16" s="68"/>
      <c r="T16">
        <v>1999</v>
      </c>
      <c r="U16" t="s">
        <v>76</v>
      </c>
      <c r="V16">
        <v>1419577.17</v>
      </c>
      <c r="W16">
        <v>1305685.67</v>
      </c>
      <c r="X16">
        <v>2725262.83</v>
      </c>
    </row>
    <row r="17" spans="1:24">
      <c r="A17">
        <v>1999</v>
      </c>
      <c r="B17" t="s">
        <v>77</v>
      </c>
      <c r="C17">
        <v>8.77E-3</v>
      </c>
      <c r="D17">
        <v>4.299E-2</v>
      </c>
      <c r="E17">
        <v>2.7</v>
      </c>
      <c r="F17">
        <v>90604</v>
      </c>
      <c r="G17">
        <v>3895</v>
      </c>
      <c r="H17">
        <v>444055</v>
      </c>
      <c r="I17">
        <v>1902968</v>
      </c>
      <c r="J17">
        <v>21</v>
      </c>
      <c r="L17">
        <v>4.3015144156474894E-2</v>
      </c>
      <c r="M17" s="71">
        <f t="shared" si="0"/>
        <v>2.514415647489332E-5</v>
      </c>
      <c r="N17">
        <v>444017</v>
      </c>
      <c r="O17">
        <f t="shared" si="1"/>
        <v>-38</v>
      </c>
      <c r="S17" s="68"/>
      <c r="T17">
        <v>1999</v>
      </c>
      <c r="U17" t="s">
        <v>77</v>
      </c>
      <c r="V17">
        <v>1480340.5</v>
      </c>
      <c r="W17">
        <v>1251335.17</v>
      </c>
      <c r="X17">
        <v>2731675.67</v>
      </c>
    </row>
    <row r="18" spans="1:24">
      <c r="A18">
        <v>1999</v>
      </c>
      <c r="B18" t="s">
        <v>78</v>
      </c>
      <c r="C18">
        <v>1.482E-2</v>
      </c>
      <c r="D18">
        <v>7.1650000000000005E-2</v>
      </c>
      <c r="E18">
        <v>2.69</v>
      </c>
      <c r="F18">
        <v>86709</v>
      </c>
      <c r="G18">
        <v>6213</v>
      </c>
      <c r="H18">
        <v>419222</v>
      </c>
      <c r="I18">
        <v>1458913</v>
      </c>
      <c r="J18">
        <v>16.829999999999998</v>
      </c>
      <c r="L18">
        <v>7.1777067786248927E-2</v>
      </c>
      <c r="M18" s="71">
        <f t="shared" si="0"/>
        <v>1.2706778624892168E-4</v>
      </c>
      <c r="N18">
        <v>419120</v>
      </c>
      <c r="O18">
        <f t="shared" si="1"/>
        <v>-102</v>
      </c>
      <c r="S18" s="68"/>
      <c r="T18">
        <v>1999</v>
      </c>
      <c r="U18" t="s">
        <v>78</v>
      </c>
      <c r="V18">
        <v>1389261</v>
      </c>
      <c r="W18">
        <v>1054148.5</v>
      </c>
      <c r="X18">
        <v>2443409.5</v>
      </c>
    </row>
    <row r="19" spans="1:24">
      <c r="A19">
        <v>1999</v>
      </c>
      <c r="B19" t="s">
        <v>79</v>
      </c>
      <c r="C19">
        <v>2.793E-2</v>
      </c>
      <c r="D19">
        <v>0.13133</v>
      </c>
      <c r="E19">
        <v>2.74</v>
      </c>
      <c r="F19">
        <v>80496</v>
      </c>
      <c r="G19">
        <v>10571</v>
      </c>
      <c r="H19">
        <v>378539</v>
      </c>
      <c r="I19">
        <v>1039691</v>
      </c>
      <c r="J19">
        <v>12.92</v>
      </c>
      <c r="L19">
        <v>0.12961628311546303</v>
      </c>
      <c r="M19" s="71">
        <f t="shared" si="0"/>
        <v>-1.7137168845369755E-3</v>
      </c>
      <c r="N19">
        <v>378806</v>
      </c>
      <c r="O19">
        <f t="shared" si="1"/>
        <v>267</v>
      </c>
      <c r="S19" s="68"/>
      <c r="T19">
        <v>1999</v>
      </c>
      <c r="U19" t="s">
        <v>79</v>
      </c>
      <c r="V19">
        <v>1223769.83</v>
      </c>
      <c r="W19">
        <v>815786</v>
      </c>
      <c r="X19">
        <v>2039555.83</v>
      </c>
    </row>
    <row r="20" spans="1:24">
      <c r="A20" s="72">
        <v>1999</v>
      </c>
      <c r="B20" s="72" t="s">
        <v>80</v>
      </c>
      <c r="C20" s="72">
        <v>5.3120000000000001E-2</v>
      </c>
      <c r="D20" s="72">
        <v>0.23680999999999999</v>
      </c>
      <c r="E20" s="72">
        <v>2.71</v>
      </c>
      <c r="F20" s="72">
        <v>69925</v>
      </c>
      <c r="G20" s="72">
        <v>16559</v>
      </c>
      <c r="H20" s="72">
        <v>311727</v>
      </c>
      <c r="I20" s="72">
        <v>661152</v>
      </c>
      <c r="J20" s="72">
        <v>9.4600000000000009</v>
      </c>
      <c r="K20" s="72"/>
      <c r="L20" s="72">
        <v>0.24088800057106141</v>
      </c>
      <c r="M20" s="73">
        <f t="shared" si="0"/>
        <v>4.0780005710614187E-3</v>
      </c>
      <c r="N20">
        <v>311586</v>
      </c>
      <c r="O20">
        <f t="shared" si="1"/>
        <v>-141</v>
      </c>
      <c r="S20" s="68"/>
      <c r="T20">
        <v>1999</v>
      </c>
      <c r="U20" t="s">
        <v>80</v>
      </c>
      <c r="V20">
        <v>576784.79</v>
      </c>
      <c r="W20">
        <v>311243.96999999997</v>
      </c>
      <c r="X20">
        <v>888028.77</v>
      </c>
    </row>
    <row r="21" spans="1:24">
      <c r="A21">
        <v>1999</v>
      </c>
      <c r="B21" t="s">
        <v>81</v>
      </c>
      <c r="C21">
        <v>0.10484</v>
      </c>
      <c r="D21">
        <v>0.41699000000000003</v>
      </c>
      <c r="E21">
        <v>2.5499999999999998</v>
      </c>
      <c r="F21">
        <v>53365</v>
      </c>
      <c r="G21">
        <v>22253</v>
      </c>
      <c r="H21">
        <v>212255</v>
      </c>
      <c r="I21">
        <v>349425</v>
      </c>
      <c r="J21">
        <v>6.55</v>
      </c>
      <c r="L21">
        <v>1</v>
      </c>
      <c r="N21">
        <v>501411.96</v>
      </c>
      <c r="O21">
        <f>N21-I21</f>
        <v>151986.96000000002</v>
      </c>
      <c r="S21" s="68"/>
      <c r="T21">
        <v>1999</v>
      </c>
      <c r="U21" t="s">
        <v>81</v>
      </c>
      <c r="V21">
        <v>586306.53</v>
      </c>
      <c r="W21">
        <v>246401.75</v>
      </c>
      <c r="X21">
        <v>832708.28</v>
      </c>
    </row>
    <row r="22" spans="1:24">
      <c r="A22">
        <v>1999</v>
      </c>
      <c r="B22" t="s">
        <v>82</v>
      </c>
      <c r="C22">
        <v>0.19042999999999999</v>
      </c>
      <c r="D22">
        <v>0.63188</v>
      </c>
      <c r="E22">
        <v>2.34</v>
      </c>
      <c r="F22">
        <v>31112</v>
      </c>
      <c r="G22">
        <v>19659</v>
      </c>
      <c r="H22">
        <v>103239</v>
      </c>
      <c r="I22">
        <v>137171</v>
      </c>
      <c r="J22">
        <v>4.41</v>
      </c>
      <c r="S22" s="68"/>
      <c r="T22">
        <v>1999</v>
      </c>
      <c r="U22" t="s">
        <v>82</v>
      </c>
      <c r="V22">
        <v>251663.82</v>
      </c>
      <c r="W22">
        <v>75994.740000000005</v>
      </c>
      <c r="X22">
        <v>327658.56</v>
      </c>
    </row>
    <row r="23" spans="1:24">
      <c r="A23">
        <v>1999</v>
      </c>
      <c r="B23" t="s">
        <v>83</v>
      </c>
      <c r="C23">
        <v>0.31587999999999999</v>
      </c>
      <c r="D23">
        <v>0.81677999999999995</v>
      </c>
      <c r="E23">
        <v>2.04</v>
      </c>
      <c r="F23">
        <v>11453</v>
      </c>
      <c r="G23">
        <v>9355</v>
      </c>
      <c r="H23">
        <v>29615</v>
      </c>
      <c r="I23">
        <v>33932</v>
      </c>
      <c r="J23">
        <v>2.96</v>
      </c>
      <c r="S23" s="68"/>
      <c r="T23">
        <v>1999</v>
      </c>
      <c r="U23" t="s">
        <v>83</v>
      </c>
      <c r="V23">
        <v>60517.69</v>
      </c>
      <c r="W23">
        <v>12399.49</v>
      </c>
      <c r="X23">
        <v>72917.17</v>
      </c>
    </row>
    <row r="24" spans="1:24">
      <c r="A24">
        <v>1999</v>
      </c>
      <c r="B24" t="s">
        <v>84</v>
      </c>
      <c r="C24">
        <v>0.47660000000000002</v>
      </c>
      <c r="D24">
        <v>0.92618999999999996</v>
      </c>
      <c r="E24">
        <v>1.7</v>
      </c>
      <c r="F24">
        <v>2098</v>
      </c>
      <c r="G24">
        <v>1944</v>
      </c>
      <c r="H24">
        <v>4078</v>
      </c>
      <c r="I24">
        <v>4317</v>
      </c>
      <c r="J24">
        <v>2.06</v>
      </c>
      <c r="S24" s="68"/>
      <c r="T24">
        <v>1999</v>
      </c>
      <c r="U24" t="s">
        <v>84</v>
      </c>
      <c r="V24">
        <v>6686.48</v>
      </c>
      <c r="W24">
        <v>876.64</v>
      </c>
      <c r="X24">
        <v>7563.12</v>
      </c>
    </row>
    <row r="25" spans="1:24">
      <c r="A25">
        <v>1999</v>
      </c>
      <c r="B25" t="s">
        <v>85</v>
      </c>
      <c r="C25">
        <v>0.64402000000000004</v>
      </c>
      <c r="D25">
        <v>0.97116999999999998</v>
      </c>
      <c r="E25">
        <v>1.4</v>
      </c>
      <c r="F25">
        <v>155</v>
      </c>
      <c r="G25">
        <v>150</v>
      </c>
      <c r="H25">
        <v>234</v>
      </c>
      <c r="I25">
        <v>239</v>
      </c>
      <c r="J25">
        <v>1.55</v>
      </c>
      <c r="S25" s="68"/>
      <c r="T25">
        <v>1999</v>
      </c>
      <c r="U25" t="s">
        <v>85</v>
      </c>
      <c r="V25">
        <v>318.45</v>
      </c>
      <c r="W25">
        <v>28.17</v>
      </c>
      <c r="X25">
        <v>346.62</v>
      </c>
    </row>
    <row r="26" spans="1:24">
      <c r="A26">
        <v>1999</v>
      </c>
      <c r="B26" t="s">
        <v>86</v>
      </c>
      <c r="C26">
        <v>0.76846999999999999</v>
      </c>
      <c r="D26">
        <v>1</v>
      </c>
      <c r="E26">
        <v>1.3</v>
      </c>
      <c r="F26">
        <v>4</v>
      </c>
      <c r="G26">
        <v>4</v>
      </c>
      <c r="H26">
        <v>6</v>
      </c>
      <c r="I26">
        <v>6</v>
      </c>
      <c r="J26">
        <v>1.3</v>
      </c>
      <c r="S26" s="68"/>
      <c r="T26">
        <v>1999</v>
      </c>
      <c r="U26" t="s">
        <v>86</v>
      </c>
      <c r="V26">
        <v>9.33</v>
      </c>
      <c r="W26">
        <v>1</v>
      </c>
      <c r="X26">
        <v>10.33</v>
      </c>
    </row>
    <row r="29" spans="1:24">
      <c r="A29">
        <v>1999</v>
      </c>
      <c r="B29">
        <v>0</v>
      </c>
      <c r="C29">
        <v>4.96E-3</v>
      </c>
      <c r="D29">
        <v>4.9399999999999999E-3</v>
      </c>
      <c r="E29">
        <v>0.06</v>
      </c>
      <c r="F29">
        <v>100000</v>
      </c>
      <c r="G29">
        <v>494</v>
      </c>
      <c r="H29">
        <v>99535</v>
      </c>
      <c r="I29">
        <v>7494844</v>
      </c>
      <c r="J29">
        <v>74.95</v>
      </c>
      <c r="V29">
        <f>SUM(V21:V26)</f>
        <v>905502.29999999993</v>
      </c>
      <c r="W29">
        <f>SUM(W21:W26)</f>
        <v>335701.79</v>
      </c>
    </row>
    <row r="30" spans="1:24">
      <c r="A30">
        <v>1999</v>
      </c>
      <c r="B30" s="69">
        <v>42461</v>
      </c>
      <c r="C30">
        <v>2.7999999999999998E-4</v>
      </c>
      <c r="D30">
        <v>1.1000000000000001E-3</v>
      </c>
      <c r="E30">
        <v>1.6</v>
      </c>
      <c r="F30">
        <v>99506</v>
      </c>
      <c r="G30">
        <v>109</v>
      </c>
      <c r="H30">
        <v>397762</v>
      </c>
      <c r="I30">
        <v>7395309</v>
      </c>
      <c r="J30">
        <v>74.319999999999993</v>
      </c>
    </row>
    <row r="31" spans="1:24">
      <c r="A31">
        <v>1999</v>
      </c>
      <c r="B31" s="69">
        <v>42618</v>
      </c>
      <c r="C31">
        <v>1.3999999999999999E-4</v>
      </c>
      <c r="D31">
        <v>7.1000000000000002E-4</v>
      </c>
      <c r="E31">
        <v>2.31</v>
      </c>
      <c r="F31">
        <v>99397</v>
      </c>
      <c r="G31">
        <v>71</v>
      </c>
      <c r="H31">
        <v>496792</v>
      </c>
      <c r="I31">
        <v>6997547</v>
      </c>
      <c r="J31">
        <v>70.400000000000006</v>
      </c>
    </row>
    <row r="32" spans="1:24">
      <c r="A32">
        <v>1999</v>
      </c>
      <c r="B32" s="70">
        <v>41913</v>
      </c>
      <c r="C32">
        <v>1.8000000000000001E-4</v>
      </c>
      <c r="D32">
        <v>8.8999999999999995E-4</v>
      </c>
      <c r="E32">
        <v>2.86</v>
      </c>
      <c r="F32">
        <v>99326</v>
      </c>
      <c r="G32">
        <v>88</v>
      </c>
      <c r="H32">
        <v>496440</v>
      </c>
      <c r="I32">
        <v>6500755</v>
      </c>
      <c r="J32">
        <v>65.45</v>
      </c>
    </row>
    <row r="33" spans="1:10">
      <c r="A33">
        <v>1999</v>
      </c>
      <c r="B33" t="s">
        <v>67</v>
      </c>
      <c r="C33">
        <v>7.2000000000000005E-4</v>
      </c>
      <c r="D33">
        <v>3.5699999999999998E-3</v>
      </c>
      <c r="E33">
        <v>3</v>
      </c>
      <c r="F33">
        <v>99238</v>
      </c>
      <c r="G33">
        <v>355</v>
      </c>
      <c r="H33">
        <v>495479</v>
      </c>
      <c r="I33">
        <v>6004314</v>
      </c>
      <c r="J33">
        <v>60.5</v>
      </c>
    </row>
    <row r="34" spans="1:10">
      <c r="A34">
        <v>1999</v>
      </c>
      <c r="B34" t="s">
        <v>68</v>
      </c>
      <c r="C34">
        <v>1.14E-3</v>
      </c>
      <c r="D34">
        <v>5.6600000000000001E-3</v>
      </c>
      <c r="E34">
        <v>2.5</v>
      </c>
      <c r="F34">
        <v>98883</v>
      </c>
      <c r="G34">
        <v>560</v>
      </c>
      <c r="H34">
        <v>493017</v>
      </c>
      <c r="I34">
        <v>5508835</v>
      </c>
      <c r="J34">
        <v>55.71</v>
      </c>
    </row>
    <row r="35" spans="1:10">
      <c r="A35">
        <v>1999</v>
      </c>
      <c r="B35" t="s">
        <v>69</v>
      </c>
      <c r="C35">
        <v>1.15E-3</v>
      </c>
      <c r="D35">
        <v>5.7400000000000003E-3</v>
      </c>
      <c r="E35">
        <v>2.48</v>
      </c>
      <c r="F35">
        <v>98323</v>
      </c>
      <c r="G35">
        <v>564</v>
      </c>
      <c r="H35">
        <v>490196</v>
      </c>
      <c r="I35">
        <v>5015819</v>
      </c>
      <c r="J35">
        <v>51.01</v>
      </c>
    </row>
    <row r="36" spans="1:10">
      <c r="A36">
        <v>1999</v>
      </c>
      <c r="B36" t="s">
        <v>70</v>
      </c>
      <c r="C36">
        <v>1.32E-3</v>
      </c>
      <c r="D36">
        <v>6.5700000000000003E-3</v>
      </c>
      <c r="E36">
        <v>2.57</v>
      </c>
      <c r="F36">
        <v>97759</v>
      </c>
      <c r="G36">
        <v>643</v>
      </c>
      <c r="H36">
        <v>487233</v>
      </c>
      <c r="I36">
        <v>4525623</v>
      </c>
      <c r="J36">
        <v>46.29</v>
      </c>
    </row>
    <row r="37" spans="1:10">
      <c r="A37">
        <v>1999</v>
      </c>
      <c r="B37" t="s">
        <v>71</v>
      </c>
      <c r="C37">
        <v>1.8600000000000001E-3</v>
      </c>
      <c r="D37">
        <v>9.2499999999999995E-3</v>
      </c>
      <c r="E37">
        <v>2.68</v>
      </c>
      <c r="F37">
        <v>97116</v>
      </c>
      <c r="G37">
        <v>898</v>
      </c>
      <c r="H37">
        <v>483494</v>
      </c>
      <c r="I37">
        <v>4038390</v>
      </c>
      <c r="J37">
        <v>41.58</v>
      </c>
    </row>
    <row r="38" spans="1:10">
      <c r="A38">
        <v>1999</v>
      </c>
      <c r="B38" t="s">
        <v>72</v>
      </c>
      <c r="C38">
        <v>3.1099999999999999E-3</v>
      </c>
      <c r="D38">
        <v>1.545E-2</v>
      </c>
      <c r="E38">
        <v>2.72</v>
      </c>
      <c r="F38">
        <v>96218</v>
      </c>
      <c r="G38">
        <v>1487</v>
      </c>
      <c r="H38">
        <v>477706</v>
      </c>
      <c r="I38">
        <v>3554896</v>
      </c>
      <c r="J38">
        <v>36.950000000000003</v>
      </c>
    </row>
    <row r="39" spans="1:10">
      <c r="A39">
        <v>1999</v>
      </c>
      <c r="B39" t="s">
        <v>73</v>
      </c>
      <c r="C39">
        <v>4.7299999999999998E-3</v>
      </c>
      <c r="D39">
        <v>2.3380000000000001E-2</v>
      </c>
      <c r="E39">
        <v>2.64</v>
      </c>
      <c r="F39">
        <v>94731</v>
      </c>
      <c r="G39">
        <v>2215</v>
      </c>
      <c r="H39">
        <v>468434</v>
      </c>
      <c r="I39">
        <v>3077190</v>
      </c>
      <c r="J39">
        <v>32.479999999999997</v>
      </c>
    </row>
    <row r="40" spans="1:10">
      <c r="A40">
        <v>1999</v>
      </c>
      <c r="B40" t="s">
        <v>74</v>
      </c>
      <c r="C40">
        <v>6.8199999999999997E-3</v>
      </c>
      <c r="D40">
        <v>3.354E-2</v>
      </c>
      <c r="E40">
        <v>2.62</v>
      </c>
      <c r="F40">
        <v>92517</v>
      </c>
      <c r="G40">
        <v>3103</v>
      </c>
      <c r="H40">
        <v>455204</v>
      </c>
      <c r="I40">
        <v>2608756</v>
      </c>
      <c r="J40">
        <v>28.2</v>
      </c>
    </row>
    <row r="41" spans="1:10">
      <c r="A41">
        <v>1999</v>
      </c>
      <c r="B41" t="s">
        <v>75</v>
      </c>
      <c r="C41">
        <v>9.58E-3</v>
      </c>
      <c r="D41">
        <v>4.684E-2</v>
      </c>
      <c r="E41">
        <v>2.59</v>
      </c>
      <c r="F41">
        <v>89413</v>
      </c>
      <c r="G41">
        <v>4188</v>
      </c>
      <c r="H41">
        <v>436983</v>
      </c>
      <c r="I41">
        <v>2153552</v>
      </c>
      <c r="J41">
        <v>24.09</v>
      </c>
    </row>
    <row r="42" spans="1:10">
      <c r="A42">
        <v>1999</v>
      </c>
      <c r="B42" t="s">
        <v>76</v>
      </c>
      <c r="C42">
        <v>1.43E-2</v>
      </c>
      <c r="D42">
        <v>6.9159999999999999E-2</v>
      </c>
      <c r="E42">
        <v>2.63</v>
      </c>
      <c r="F42">
        <v>85226</v>
      </c>
      <c r="G42">
        <v>5895</v>
      </c>
      <c r="H42">
        <v>412187</v>
      </c>
      <c r="I42">
        <v>1716569</v>
      </c>
      <c r="J42">
        <v>20.14</v>
      </c>
    </row>
    <row r="43" spans="1:10">
      <c r="A43">
        <v>1999</v>
      </c>
      <c r="B43" t="s">
        <v>77</v>
      </c>
      <c r="C43">
        <v>2.2210000000000001E-2</v>
      </c>
      <c r="D43">
        <v>0.10549</v>
      </c>
      <c r="E43">
        <v>2.62</v>
      </c>
      <c r="F43">
        <v>79331</v>
      </c>
      <c r="G43">
        <v>8368</v>
      </c>
      <c r="H43">
        <v>376758</v>
      </c>
      <c r="I43">
        <v>1304382</v>
      </c>
      <c r="J43">
        <v>16.440000000000001</v>
      </c>
    </row>
    <row r="44" spans="1:10">
      <c r="A44">
        <v>1999</v>
      </c>
      <c r="B44" t="s">
        <v>78</v>
      </c>
      <c r="C44">
        <v>3.4139999999999997E-2</v>
      </c>
      <c r="D44">
        <v>0.15773999999999999</v>
      </c>
      <c r="E44">
        <v>2.59</v>
      </c>
      <c r="F44">
        <v>70963</v>
      </c>
      <c r="G44">
        <v>11194</v>
      </c>
      <c r="H44">
        <v>327845</v>
      </c>
      <c r="I44">
        <v>927625</v>
      </c>
      <c r="J44">
        <v>13.07</v>
      </c>
    </row>
    <row r="45" spans="1:10">
      <c r="A45">
        <v>1999</v>
      </c>
      <c r="B45" t="s">
        <v>79</v>
      </c>
      <c r="C45">
        <v>5.4149999999999997E-2</v>
      </c>
      <c r="D45">
        <v>0.23979</v>
      </c>
      <c r="E45">
        <v>2.62</v>
      </c>
      <c r="F45">
        <v>59769</v>
      </c>
      <c r="G45">
        <v>14332</v>
      </c>
      <c r="H45">
        <v>264685</v>
      </c>
      <c r="I45">
        <v>599780</v>
      </c>
      <c r="J45">
        <v>10.039999999999999</v>
      </c>
    </row>
    <row r="46" spans="1:10">
      <c r="A46">
        <v>1999</v>
      </c>
      <c r="B46" t="s">
        <v>80</v>
      </c>
      <c r="C46">
        <v>8.906E-2</v>
      </c>
      <c r="D46">
        <v>0.36667</v>
      </c>
      <c r="E46">
        <v>2.59</v>
      </c>
      <c r="F46">
        <v>45437</v>
      </c>
      <c r="G46">
        <v>16660</v>
      </c>
      <c r="H46">
        <v>187061</v>
      </c>
      <c r="I46">
        <v>335094</v>
      </c>
      <c r="J46">
        <v>7.37</v>
      </c>
    </row>
    <row r="47" spans="1:10">
      <c r="A47">
        <v>1999</v>
      </c>
      <c r="B47" t="s">
        <v>81</v>
      </c>
      <c r="C47">
        <v>0.15543000000000001</v>
      </c>
      <c r="D47">
        <v>0.55335999999999996</v>
      </c>
      <c r="E47">
        <v>2.4</v>
      </c>
      <c r="F47">
        <v>28776</v>
      </c>
      <c r="G47">
        <v>15924</v>
      </c>
      <c r="H47">
        <v>102452</v>
      </c>
      <c r="I47">
        <v>148034</v>
      </c>
      <c r="J47">
        <v>5.14</v>
      </c>
    </row>
    <row r="50" spans="1:10">
      <c r="A50">
        <v>1999</v>
      </c>
      <c r="B50" t="s">
        <v>82</v>
      </c>
      <c r="C50">
        <v>0.25491000000000003</v>
      </c>
      <c r="D50">
        <v>0.73973</v>
      </c>
      <c r="E50">
        <v>2.16</v>
      </c>
      <c r="F50">
        <v>12853</v>
      </c>
      <c r="G50">
        <v>9508</v>
      </c>
      <c r="H50">
        <v>37298</v>
      </c>
      <c r="I50">
        <v>45582</v>
      </c>
      <c r="J50">
        <v>3.55</v>
      </c>
    </row>
    <row r="51" spans="1:10">
      <c r="A51">
        <v>1999</v>
      </c>
      <c r="B51" t="s">
        <v>83</v>
      </c>
      <c r="C51">
        <v>0.38945000000000002</v>
      </c>
      <c r="D51">
        <v>0.87733000000000005</v>
      </c>
      <c r="E51">
        <v>1.87</v>
      </c>
      <c r="F51">
        <v>3345</v>
      </c>
      <c r="G51">
        <v>2935</v>
      </c>
      <c r="H51">
        <v>7536</v>
      </c>
      <c r="I51">
        <v>8285</v>
      </c>
      <c r="J51">
        <v>2.48</v>
      </c>
    </row>
    <row r="52" spans="1:10">
      <c r="A52">
        <v>1999</v>
      </c>
      <c r="B52" t="s">
        <v>84</v>
      </c>
      <c r="C52">
        <v>0.54196999999999995</v>
      </c>
      <c r="D52">
        <v>0.94796000000000002</v>
      </c>
      <c r="E52">
        <v>1.57</v>
      </c>
      <c r="F52">
        <v>410</v>
      </c>
      <c r="G52">
        <v>389</v>
      </c>
      <c r="H52">
        <v>718</v>
      </c>
      <c r="I52">
        <v>749</v>
      </c>
      <c r="J52">
        <v>1.82</v>
      </c>
    </row>
    <row r="53" spans="1:10">
      <c r="A53">
        <v>1999</v>
      </c>
      <c r="B53" t="s">
        <v>85</v>
      </c>
      <c r="C53">
        <v>0.68872999999999995</v>
      </c>
      <c r="D53">
        <v>0.97706000000000004</v>
      </c>
      <c r="E53">
        <v>1.33</v>
      </c>
      <c r="F53">
        <v>21</v>
      </c>
      <c r="G53">
        <v>21</v>
      </c>
      <c r="H53">
        <v>30</v>
      </c>
      <c r="I53">
        <v>31</v>
      </c>
      <c r="J53">
        <v>1.45</v>
      </c>
    </row>
    <row r="54" spans="1:10">
      <c r="A54">
        <v>1999</v>
      </c>
      <c r="B54" t="s">
        <v>86</v>
      </c>
      <c r="C54">
        <v>0.79390000000000005</v>
      </c>
      <c r="D54">
        <v>1</v>
      </c>
      <c r="E54">
        <v>1.26</v>
      </c>
      <c r="F54">
        <v>0</v>
      </c>
      <c r="G54">
        <v>0</v>
      </c>
      <c r="H54">
        <v>1</v>
      </c>
      <c r="I54">
        <v>1</v>
      </c>
      <c r="J54">
        <v>1.26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ennoncé</vt:lpstr>
      <vt:lpstr>Mortalité foetale</vt:lpstr>
      <vt:lpstr>F 1</vt:lpstr>
      <vt:lpstr>Tumeur calculs a)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Avdeev</dc:creator>
  <cp:lastModifiedBy>Alexandre Avdeev</cp:lastModifiedBy>
  <cp:lastPrinted>2016-03-27T15:48:21Z</cp:lastPrinted>
  <dcterms:created xsi:type="dcterms:W3CDTF">2008-03-17T18:19:53Z</dcterms:created>
  <dcterms:modified xsi:type="dcterms:W3CDTF">2022-02-15T19:23:50Z</dcterms:modified>
</cp:coreProperties>
</file>