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printerSettings/printerSettings1.bin" ContentType="application/vnd.openxmlformats-officedocument.spreadsheetml.printerSettings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At_use\2-Cours\1 - Demographie\3-Models\2-Exercices TD\TD-3-4 Fertility models\"/>
    </mc:Choice>
  </mc:AlternateContent>
  <xr:revisionPtr revIDLastSave="0" documentId="13_ncr:1_{F2913BB6-BF73-447C-8126-1EB32517FABE}" xr6:coauthVersionLast="47" xr6:coauthVersionMax="47" xr10:uidLastSave="{00000000-0000-0000-0000-000000000000}"/>
  <bookViews>
    <workbookView xWindow="4280" yWindow="370" windowWidth="34120" windowHeight="20200" xr2:uid="{00000000-000D-0000-FFFF-FFFF00000000}"/>
  </bookViews>
  <sheets>
    <sheet name="gamma_ex" sheetId="4" r:id="rId1"/>
    <sheet name="gamma_P" sheetId="2" r:id="rId2"/>
    <sheet name="beta_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2" l="1"/>
  <c r="B76" i="2"/>
  <c r="B77" i="2"/>
  <c r="C77" i="2" s="1"/>
  <c r="B78" i="2"/>
  <c r="C78" i="2" s="1"/>
  <c r="B79" i="2"/>
  <c r="C79" i="2" s="1"/>
  <c r="B80" i="2"/>
  <c r="C80" i="2" s="1"/>
  <c r="B81" i="2"/>
  <c r="C81" i="2" s="1"/>
  <c r="B75" i="2"/>
  <c r="C75" i="2" s="1"/>
  <c r="H57" i="2"/>
  <c r="F58" i="2"/>
  <c r="F59" i="2"/>
  <c r="F60" i="2"/>
  <c r="F61" i="2"/>
  <c r="F62" i="2"/>
  <c r="F63" i="2"/>
  <c r="F57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" i="2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4" i="3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" i="2"/>
  <c r="B3" i="4"/>
  <c r="C3" i="4"/>
  <c r="D3" i="4"/>
  <c r="E3" i="4"/>
  <c r="B4" i="4"/>
  <c r="C4" i="4"/>
  <c r="D4" i="4"/>
  <c r="E4" i="4"/>
  <c r="B5" i="4"/>
  <c r="C5" i="4"/>
  <c r="D5" i="4"/>
  <c r="E5" i="4"/>
  <c r="B6" i="4"/>
  <c r="C6" i="4"/>
  <c r="D6" i="4"/>
  <c r="E6" i="4"/>
  <c r="B7" i="4"/>
  <c r="C7" i="4"/>
  <c r="D7" i="4"/>
  <c r="E7" i="4"/>
  <c r="B8" i="4"/>
  <c r="C8" i="4"/>
  <c r="D8" i="4"/>
  <c r="E8" i="4"/>
  <c r="B9" i="4"/>
  <c r="C9" i="4"/>
  <c r="D9" i="4"/>
  <c r="E9" i="4"/>
  <c r="B10" i="4"/>
  <c r="C10" i="4"/>
  <c r="D10" i="4"/>
  <c r="E10" i="4"/>
  <c r="B11" i="4"/>
  <c r="C11" i="4"/>
  <c r="D11" i="4"/>
  <c r="E11" i="4"/>
  <c r="B12" i="4"/>
  <c r="C12" i="4"/>
  <c r="D12" i="4"/>
  <c r="E12" i="4"/>
  <c r="B13" i="4"/>
  <c r="C13" i="4"/>
  <c r="D13" i="4"/>
  <c r="E13" i="4"/>
  <c r="B14" i="4"/>
  <c r="C14" i="4"/>
  <c r="D14" i="4"/>
  <c r="E14" i="4"/>
  <c r="B15" i="4"/>
  <c r="C15" i="4"/>
  <c r="D15" i="4"/>
  <c r="E15" i="4"/>
  <c r="B16" i="4"/>
  <c r="C16" i="4"/>
  <c r="D16" i="4"/>
  <c r="E16" i="4"/>
  <c r="B17" i="4"/>
  <c r="C17" i="4"/>
  <c r="D17" i="4"/>
  <c r="E17" i="4"/>
  <c r="B18" i="4"/>
  <c r="C18" i="4"/>
  <c r="D18" i="4"/>
  <c r="E18" i="4"/>
  <c r="C82" i="2" l="1"/>
  <c r="U10" i="3"/>
  <c r="U11" i="3"/>
  <c r="U18" i="3"/>
  <c r="U19" i="3"/>
  <c r="U21" i="3"/>
  <c r="U26" i="3"/>
  <c r="U27" i="3"/>
  <c r="U34" i="3"/>
  <c r="U35" i="3"/>
  <c r="T6" i="3"/>
  <c r="U6" i="3" s="1"/>
  <c r="T7" i="3"/>
  <c r="U7" i="3" s="1"/>
  <c r="T8" i="3"/>
  <c r="U8" i="3" s="1"/>
  <c r="T9" i="3"/>
  <c r="U9" i="3" s="1"/>
  <c r="T10" i="3"/>
  <c r="T11" i="3"/>
  <c r="T12" i="3"/>
  <c r="U12" i="3" s="1"/>
  <c r="T13" i="3"/>
  <c r="U13" i="3" s="1"/>
  <c r="T14" i="3"/>
  <c r="U14" i="3" s="1"/>
  <c r="T15" i="3"/>
  <c r="U15" i="3" s="1"/>
  <c r="T16" i="3"/>
  <c r="U16" i="3" s="1"/>
  <c r="T17" i="3"/>
  <c r="U17" i="3" s="1"/>
  <c r="T18" i="3"/>
  <c r="T19" i="3"/>
  <c r="T20" i="3"/>
  <c r="U20" i="3" s="1"/>
  <c r="T21" i="3"/>
  <c r="T22" i="3"/>
  <c r="U22" i="3" s="1"/>
  <c r="T23" i="3"/>
  <c r="U23" i="3" s="1"/>
  <c r="T24" i="3"/>
  <c r="U24" i="3" s="1"/>
  <c r="T25" i="3"/>
  <c r="U25" i="3" s="1"/>
  <c r="T26" i="3"/>
  <c r="T27" i="3"/>
  <c r="T28" i="3"/>
  <c r="U28" i="3" s="1"/>
  <c r="T29" i="3"/>
  <c r="U29" i="3" s="1"/>
  <c r="T30" i="3"/>
  <c r="U30" i="3" s="1"/>
  <c r="T31" i="3"/>
  <c r="U31" i="3" s="1"/>
  <c r="T32" i="3"/>
  <c r="U32" i="3" s="1"/>
  <c r="T33" i="3"/>
  <c r="U33" i="3" s="1"/>
  <c r="T34" i="3"/>
  <c r="T35" i="3"/>
  <c r="T36" i="3"/>
  <c r="U36" i="3" s="1"/>
  <c r="T5" i="3"/>
  <c r="U5" i="3" s="1"/>
  <c r="T4" i="3"/>
  <c r="T37" i="3" s="1"/>
  <c r="U37" i="3" s="1"/>
  <c r="R36" i="3"/>
  <c r="R35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4" i="3"/>
  <c r="H38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" i="3"/>
  <c r="H4" i="3"/>
  <c r="H5" i="3"/>
  <c r="H6" i="3"/>
  <c r="G6" i="3"/>
  <c r="H58" i="2"/>
  <c r="H59" i="2"/>
  <c r="H60" i="2"/>
  <c r="H61" i="2"/>
  <c r="H62" i="2"/>
  <c r="H63" i="2"/>
  <c r="U4" i="3" l="1"/>
  <c r="H64" i="2"/>
  <c r="H42" i="2"/>
  <c r="F44" i="2"/>
  <c r="J4" i="2" s="1"/>
  <c r="J34" i="2"/>
  <c r="J35" i="2"/>
  <c r="F43" i="2"/>
  <c r="D65" i="3"/>
  <c r="D66" i="3" s="1"/>
  <c r="D69" i="3" s="1"/>
  <c r="C65" i="3"/>
  <c r="F64" i="3"/>
  <c r="E64" i="3"/>
  <c r="D64" i="3"/>
  <c r="F63" i="3"/>
  <c r="E63" i="3"/>
  <c r="D63" i="3"/>
  <c r="F62" i="3"/>
  <c r="E62" i="3"/>
  <c r="D62" i="3"/>
  <c r="F61" i="3"/>
  <c r="E61" i="3"/>
  <c r="E65" i="3" s="1"/>
  <c r="E66" i="3" s="1"/>
  <c r="E69" i="3" s="1"/>
  <c r="D61" i="3"/>
  <c r="F60" i="3"/>
  <c r="E60" i="3"/>
  <c r="D60" i="3"/>
  <c r="F59" i="3"/>
  <c r="E59" i="3"/>
  <c r="D59" i="3"/>
  <c r="F58" i="3"/>
  <c r="E58" i="3"/>
  <c r="D58" i="3"/>
  <c r="C38" i="3"/>
  <c r="F37" i="3"/>
  <c r="D37" i="3"/>
  <c r="E37" i="3" s="1"/>
  <c r="F36" i="3"/>
  <c r="E36" i="3"/>
  <c r="D36" i="3"/>
  <c r="F35" i="3"/>
  <c r="D35" i="3"/>
  <c r="E35" i="3" s="1"/>
  <c r="F34" i="3"/>
  <c r="D34" i="3"/>
  <c r="E34" i="3" s="1"/>
  <c r="F33" i="3"/>
  <c r="D33" i="3"/>
  <c r="E33" i="3" s="1"/>
  <c r="F32" i="3"/>
  <c r="D32" i="3"/>
  <c r="E32" i="3" s="1"/>
  <c r="F31" i="3"/>
  <c r="D31" i="3"/>
  <c r="E31" i="3" s="1"/>
  <c r="F30" i="3"/>
  <c r="E30" i="3"/>
  <c r="D30" i="3"/>
  <c r="F29" i="3"/>
  <c r="D29" i="3"/>
  <c r="E29" i="3" s="1"/>
  <c r="F28" i="3"/>
  <c r="D28" i="3"/>
  <c r="E28" i="3" s="1"/>
  <c r="F27" i="3"/>
  <c r="D27" i="3"/>
  <c r="E27" i="3" s="1"/>
  <c r="F26" i="3"/>
  <c r="D26" i="3"/>
  <c r="E26" i="3" s="1"/>
  <c r="F25" i="3"/>
  <c r="D25" i="3"/>
  <c r="E25" i="3" s="1"/>
  <c r="F24" i="3"/>
  <c r="D24" i="3"/>
  <c r="E24" i="3" s="1"/>
  <c r="F23" i="3"/>
  <c r="D23" i="3"/>
  <c r="E23" i="3" s="1"/>
  <c r="F22" i="3"/>
  <c r="E22" i="3"/>
  <c r="D22" i="3"/>
  <c r="F21" i="3"/>
  <c r="D21" i="3"/>
  <c r="E21" i="3" s="1"/>
  <c r="F20" i="3"/>
  <c r="D20" i="3"/>
  <c r="E20" i="3" s="1"/>
  <c r="F19" i="3"/>
  <c r="D19" i="3"/>
  <c r="E19" i="3" s="1"/>
  <c r="F18" i="3"/>
  <c r="D18" i="3"/>
  <c r="E18" i="3" s="1"/>
  <c r="F17" i="3"/>
  <c r="D17" i="3"/>
  <c r="E17" i="3" s="1"/>
  <c r="F16" i="3"/>
  <c r="D16" i="3"/>
  <c r="E16" i="3" s="1"/>
  <c r="F15" i="3"/>
  <c r="D15" i="3"/>
  <c r="E15" i="3" s="1"/>
  <c r="F14" i="3"/>
  <c r="E14" i="3"/>
  <c r="D14" i="3"/>
  <c r="F13" i="3"/>
  <c r="D13" i="3"/>
  <c r="E13" i="3" s="1"/>
  <c r="F12" i="3"/>
  <c r="D12" i="3"/>
  <c r="E12" i="3" s="1"/>
  <c r="F11" i="3"/>
  <c r="D11" i="3"/>
  <c r="E11" i="3" s="1"/>
  <c r="F10" i="3"/>
  <c r="D10" i="3"/>
  <c r="E10" i="3" s="1"/>
  <c r="F9" i="3"/>
  <c r="D9" i="3"/>
  <c r="E9" i="3" s="1"/>
  <c r="F8" i="3"/>
  <c r="D8" i="3"/>
  <c r="E8" i="3" s="1"/>
  <c r="F7" i="3"/>
  <c r="D7" i="3"/>
  <c r="E7" i="3" s="1"/>
  <c r="F6" i="3"/>
  <c r="E6" i="3"/>
  <c r="D6" i="3"/>
  <c r="F5" i="3"/>
  <c r="D5" i="3"/>
  <c r="E5" i="3" s="1"/>
  <c r="F4" i="3"/>
  <c r="D4" i="3"/>
  <c r="E4" i="3" s="1"/>
  <c r="F3" i="3"/>
  <c r="D3" i="3"/>
  <c r="E3" i="3" s="1"/>
  <c r="C64" i="2"/>
  <c r="D63" i="2"/>
  <c r="E63" i="2" s="1"/>
  <c r="D62" i="2"/>
  <c r="E62" i="2" s="1"/>
  <c r="D61" i="2"/>
  <c r="E61" i="2" s="1"/>
  <c r="D60" i="2"/>
  <c r="E60" i="2" s="1"/>
  <c r="D59" i="2"/>
  <c r="E59" i="2" s="1"/>
  <c r="D58" i="2"/>
  <c r="E58" i="2" s="1"/>
  <c r="D57" i="2"/>
  <c r="E57" i="2" s="1"/>
  <c r="C38" i="2"/>
  <c r="F37" i="2"/>
  <c r="E37" i="2"/>
  <c r="D37" i="2"/>
  <c r="F36" i="2"/>
  <c r="E36" i="2"/>
  <c r="D36" i="2"/>
  <c r="F35" i="2"/>
  <c r="E35" i="2"/>
  <c r="D35" i="2"/>
  <c r="F34" i="2"/>
  <c r="E34" i="2"/>
  <c r="D34" i="2"/>
  <c r="F33" i="2"/>
  <c r="E33" i="2"/>
  <c r="D33" i="2"/>
  <c r="F32" i="2"/>
  <c r="E32" i="2"/>
  <c r="D32" i="2"/>
  <c r="F31" i="2"/>
  <c r="E31" i="2"/>
  <c r="D31" i="2"/>
  <c r="F30" i="2"/>
  <c r="E30" i="2"/>
  <c r="D30" i="2"/>
  <c r="F29" i="2"/>
  <c r="E29" i="2"/>
  <c r="D29" i="2"/>
  <c r="F28" i="2"/>
  <c r="E28" i="2"/>
  <c r="D28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D38" i="2" s="1"/>
  <c r="D39" i="2" s="1"/>
  <c r="D42" i="2" s="1"/>
  <c r="J27" i="2" l="1"/>
  <c r="J19" i="2"/>
  <c r="J18" i="2"/>
  <c r="J11" i="2"/>
  <c r="J5" i="2"/>
  <c r="J32" i="2"/>
  <c r="J16" i="2"/>
  <c r="J28" i="2"/>
  <c r="J12" i="2"/>
  <c r="J26" i="2"/>
  <c r="J10" i="2"/>
  <c r="J24" i="2"/>
  <c r="J8" i="2"/>
  <c r="J36" i="2"/>
  <c r="J20" i="2"/>
  <c r="J33" i="2"/>
  <c r="J25" i="2"/>
  <c r="J17" i="2"/>
  <c r="J9" i="2"/>
  <c r="J31" i="2"/>
  <c r="J23" i="2"/>
  <c r="J15" i="2"/>
  <c r="J7" i="2"/>
  <c r="J3" i="2"/>
  <c r="J30" i="2"/>
  <c r="J22" i="2"/>
  <c r="J14" i="2"/>
  <c r="J6" i="2"/>
  <c r="J37" i="2"/>
  <c r="J29" i="2"/>
  <c r="J21" i="2"/>
  <c r="J13" i="2"/>
  <c r="E38" i="2"/>
  <c r="E39" i="2" s="1"/>
  <c r="E38" i="3"/>
  <c r="D38" i="3"/>
  <c r="D39" i="3" s="1"/>
  <c r="D42" i="3" s="1"/>
  <c r="G59" i="3"/>
  <c r="D70" i="3"/>
  <c r="G61" i="3" s="1"/>
  <c r="E64" i="2"/>
  <c r="E65" i="2" s="1"/>
  <c r="E68" i="2" s="1"/>
  <c r="D71" i="3"/>
  <c r="G63" i="3" s="1"/>
  <c r="D64" i="2"/>
  <c r="D65" i="2" s="1"/>
  <c r="D68" i="2" s="1"/>
  <c r="J38" i="2" l="1"/>
  <c r="I38" i="2"/>
  <c r="E39" i="3"/>
  <c r="E42" i="3" s="1"/>
  <c r="D44" i="3" s="1"/>
  <c r="E42" i="2"/>
  <c r="F39" i="2"/>
  <c r="G64" i="3"/>
  <c r="G62" i="3"/>
  <c r="G60" i="3"/>
  <c r="G58" i="3"/>
  <c r="G65" i="3" s="1"/>
  <c r="D72" i="3"/>
  <c r="D70" i="2"/>
  <c r="D69" i="2"/>
  <c r="D43" i="3" l="1"/>
  <c r="G59" i="2"/>
  <c r="G61" i="2"/>
  <c r="G63" i="2"/>
  <c r="G57" i="2"/>
  <c r="G62" i="2"/>
  <c r="G60" i="2"/>
  <c r="G58" i="2"/>
  <c r="D43" i="2"/>
  <c r="D44" i="2"/>
  <c r="D45" i="3" l="1"/>
  <c r="G37" i="3"/>
  <c r="G21" i="3"/>
  <c r="G5" i="3"/>
  <c r="G24" i="3"/>
  <c r="G8" i="3"/>
  <c r="G11" i="3"/>
  <c r="G14" i="3"/>
  <c r="G25" i="3"/>
  <c r="G28" i="3"/>
  <c r="G35" i="3"/>
  <c r="G19" i="3"/>
  <c r="G3" i="3"/>
  <c r="G22" i="3"/>
  <c r="G33" i="3"/>
  <c r="G17" i="3"/>
  <c r="G36" i="3"/>
  <c r="G20" i="3"/>
  <c r="G4" i="3"/>
  <c r="G31" i="3"/>
  <c r="G34" i="3"/>
  <c r="G18" i="3"/>
  <c r="G12" i="3"/>
  <c r="G15" i="3"/>
  <c r="G29" i="3"/>
  <c r="G13" i="3"/>
  <c r="G32" i="3"/>
  <c r="G16" i="3"/>
  <c r="G27" i="3"/>
  <c r="G30" i="3"/>
  <c r="G23" i="3"/>
  <c r="G7" i="3"/>
  <c r="G26" i="3"/>
  <c r="G10" i="3"/>
  <c r="G9" i="3"/>
  <c r="G64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G8" i="2"/>
  <c r="G6" i="2"/>
  <c r="G4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G7" i="2"/>
  <c r="G5" i="2"/>
  <c r="G3" i="2"/>
  <c r="G38" i="3" l="1"/>
  <c r="G38" i="2"/>
</calcChain>
</file>

<file path=xl/sharedStrings.xml><?xml version="1.0" encoding="utf-8"?>
<sst xmlns="http://schemas.openxmlformats.org/spreadsheetml/2006/main" count="125" uniqueCount="59">
  <si>
    <t>x</t>
  </si>
  <si>
    <t>distribution cumulée</t>
  </si>
  <si>
    <t>probabilité de masse</t>
  </si>
  <si>
    <t>fonction de densité</t>
  </si>
  <si>
    <t>fx</t>
  </si>
  <si>
    <t>observés</t>
  </si>
  <si>
    <t>F(β)</t>
  </si>
  <si>
    <t>moyenne</t>
  </si>
  <si>
    <t>variance</t>
  </si>
  <si>
    <t>m(x)</t>
  </si>
  <si>
    <t>m(x)-15</t>
  </si>
  <si>
    <t>a</t>
  </si>
  <si>
    <t>http://www.danielsoper.com/statcalc3/calc.aspx?id=30</t>
  </si>
  <si>
    <t>http://www.miniwebtool.com/gamma-function-calculator/?number=6.7851</t>
  </si>
  <si>
    <t>15-19</t>
  </si>
  <si>
    <t>20-24</t>
  </si>
  <si>
    <t>25-29</t>
  </si>
  <si>
    <t>30-34</t>
  </si>
  <si>
    <t>35-39</t>
  </si>
  <si>
    <t>40-44</t>
  </si>
  <si>
    <t>45-49</t>
  </si>
  <si>
    <r>
      <t>σ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(x)</t>
    </r>
  </si>
  <si>
    <t>λ</t>
  </si>
  <si>
    <t>Γ(a)</t>
  </si>
  <si>
    <t>France 2010</t>
  </si>
  <si>
    <r>
      <t>F(</t>
    </r>
    <r>
      <rPr>
        <b/>
        <sz val="10"/>
        <color rgb="FFFF0000"/>
        <rFont val="Calibri"/>
        <family val="2"/>
        <charset val="238"/>
      </rPr>
      <t>β</t>
    </r>
    <r>
      <rPr>
        <b/>
        <sz val="10"/>
        <color rgb="FFFF0000"/>
        <rFont val="Arial"/>
        <family val="2"/>
      </rPr>
      <t>)</t>
    </r>
  </si>
  <si>
    <t>m(X)</t>
  </si>
  <si>
    <t>b</t>
  </si>
  <si>
    <t>a+b</t>
  </si>
  <si>
    <t>Γ(b)</t>
  </si>
  <si>
    <t>Γ(a+b)</t>
  </si>
  <si>
    <t>5*fx</t>
  </si>
  <si>
    <t>ajustés: gamma</t>
  </si>
  <si>
    <t>ajustés: bêta</t>
  </si>
  <si>
    <r>
      <t>ajustés: b</t>
    </r>
    <r>
      <rPr>
        <sz val="10"/>
        <color theme="1"/>
        <rFont val="Calibri"/>
        <family val="2"/>
        <charset val="238"/>
      </rPr>
      <t>ê</t>
    </r>
    <r>
      <rPr>
        <sz val="10"/>
        <color theme="1"/>
        <rFont val="Arial"/>
        <family val="2"/>
      </rPr>
      <t>ta</t>
    </r>
  </si>
  <si>
    <r>
      <t>x</t>
    </r>
    <r>
      <rPr>
        <vertAlign val="subscript"/>
        <sz val="10"/>
        <color theme="1"/>
        <rFont val="Arial"/>
        <family val="2"/>
      </rPr>
      <t>c</t>
    </r>
  </si>
  <si>
    <r>
      <t>(x</t>
    </r>
    <r>
      <rPr>
        <vertAlign val="subscript"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>)*fx</t>
    </r>
  </si>
  <si>
    <r>
      <t>(x</t>
    </r>
    <r>
      <rPr>
        <vertAlign val="subscript"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>)^2*fx</t>
    </r>
  </si>
  <si>
    <r>
      <t>x</t>
    </r>
    <r>
      <rPr>
        <vertAlign val="subscript"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>-15</t>
    </r>
  </si>
  <si>
    <r>
      <t>x</t>
    </r>
    <r>
      <rPr>
        <vertAlign val="subscript"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>*fx</t>
    </r>
  </si>
  <si>
    <r>
      <t>x</t>
    </r>
    <r>
      <rPr>
        <vertAlign val="subscript"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>^2*fx</t>
    </r>
  </si>
  <si>
    <t>écart-type</t>
  </si>
  <si>
    <t>X</t>
  </si>
  <si>
    <t>distribution</t>
  </si>
  <si>
    <t>densité</t>
  </si>
  <si>
    <t>β =</t>
  </si>
  <si>
    <t>α =</t>
  </si>
  <si>
    <t>fonction de distribution</t>
  </si>
  <si>
    <t>densité calendrier</t>
  </si>
  <si>
    <t>fonction "loi.gamma.n(…;faux)"</t>
  </si>
  <si>
    <t>Fonction loi.beta.n(…;vrai)</t>
  </si>
  <si>
    <t>Fonction calendrier</t>
  </si>
  <si>
    <t>taux</t>
  </si>
  <si>
    <t>ajustés</t>
  </si>
  <si>
    <t>fonction "loi.gamma.n(…;vrai)"</t>
  </si>
  <si>
    <t>tfsa (ajustés)</t>
  </si>
  <si>
    <t>taux estimés ajustés à l'âge</t>
  </si>
  <si>
    <t>Si on peut ajuster les centres des intervalles d'âge, les éstimateurs s'approchent au observation</t>
  </si>
  <si>
    <r>
      <t>x</t>
    </r>
    <r>
      <rPr>
        <b/>
        <vertAlign val="subscript"/>
        <sz val="10"/>
        <color rgb="FFFF0000"/>
        <rFont val="Arial"/>
        <family val="2"/>
        <charset val="204"/>
      </rPr>
      <t xml:space="preserve">c </t>
    </r>
    <r>
      <rPr>
        <b/>
        <sz val="10"/>
        <color rgb="FFFF0000"/>
        <rFont val="Arial"/>
        <family val="2"/>
        <charset val="204"/>
      </rPr>
      <t>(précisé)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</si>
</sst>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00"/>
    <numFmt numFmtId="166" formatCode="0.000"/>
    <numFmt numFmtId="167" formatCode="0.0"/>
    <numFmt numFmtId="168" formatCode="0.000000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color rgb="FF666666"/>
      <name val="Arial"/>
      <family val="2"/>
    </font>
    <font>
      <sz val="10"/>
      <color theme="1"/>
      <name val="Arial"/>
      <family val="2"/>
    </font>
    <font>
      <sz val="10"/>
      <color rgb="FF444444"/>
      <name val="Arial"/>
      <family val="2"/>
    </font>
    <font>
      <sz val="10"/>
      <name val="Arial CE"/>
      <charset val="238"/>
    </font>
    <font>
      <sz val="1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  <font>
      <u/>
      <sz val="10"/>
      <color theme="10"/>
      <name val="Arial"/>
      <family val="2"/>
    </font>
    <font>
      <b/>
      <sz val="10"/>
      <color theme="3" tint="0.39997558519241921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color rgb="FFFF0000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charset val="238"/>
    </font>
    <font>
      <vertAlign val="subscript"/>
      <sz val="10"/>
      <color theme="1"/>
      <name val="Arial"/>
      <family val="2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rgb="FFC00000"/>
      <name val="Arial"/>
      <family val="2"/>
      <charset val="204"/>
    </font>
    <font>
      <sz val="10"/>
      <color rgb="FFC00000"/>
      <name val="Arial"/>
      <family val="2"/>
    </font>
    <font>
      <b/>
      <sz val="10"/>
      <color rgb="FFFF0000"/>
      <name val="Arial"/>
      <family val="2"/>
      <charset val="204"/>
    </font>
    <font>
      <b/>
      <vertAlign val="subscript"/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66">
    <xf numFmtId="0" fontId="0" fillId="0" borderId="0" xfId="0"/>
    <xf numFmtId="1" fontId="1" fillId="0" borderId="0" xfId="0" applyNumberFormat="1" applyFont="1"/>
    <xf numFmtId="164" fontId="1" fillId="0" borderId="0" xfId="0" applyNumberFormat="1" applyFont="1"/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4" fillId="0" borderId="0" xfId="0" applyFont="1"/>
    <xf numFmtId="0" fontId="5" fillId="0" borderId="0" xfId="0" applyFont="1" applyAlignment="1">
      <alignment horizontal="left" vertical="center" indent="2"/>
    </xf>
    <xf numFmtId="165" fontId="0" fillId="0" borderId="0" xfId="0" applyNumberFormat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1" fontId="7" fillId="0" borderId="0" xfId="2" applyNumberFormat="1" applyFont="1" applyAlignment="1">
      <alignment horizontal="center"/>
    </xf>
    <xf numFmtId="164" fontId="7" fillId="0" borderId="0" xfId="2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/>
    <xf numFmtId="164" fontId="11" fillId="0" borderId="0" xfId="0" applyNumberFormat="1" applyFont="1"/>
    <xf numFmtId="0" fontId="4" fillId="0" borderId="0" xfId="0" applyFont="1" applyAlignment="1">
      <alignment horizontal="right" vertical="center"/>
    </xf>
    <xf numFmtId="0" fontId="10" fillId="0" borderId="0" xfId="0" applyFont="1"/>
    <xf numFmtId="164" fontId="8" fillId="0" borderId="0" xfId="0" applyNumberFormat="1" applyFont="1" applyAlignment="1">
      <alignment horizontal="right" vertical="center"/>
    </xf>
    <xf numFmtId="164" fontId="2" fillId="0" borderId="0" xfId="1" applyNumberFormat="1"/>
    <xf numFmtId="164" fontId="12" fillId="0" borderId="0" xfId="1" applyNumberFormat="1" applyFont="1"/>
    <xf numFmtId="0" fontId="4" fillId="0" borderId="0" xfId="0" applyFont="1" applyAlignment="1">
      <alignment horizontal="center"/>
    </xf>
    <xf numFmtId="164" fontId="10" fillId="0" borderId="0" xfId="0" applyNumberFormat="1" applyFont="1" applyAlignment="1">
      <alignment horizontal="right"/>
    </xf>
    <xf numFmtId="164" fontId="13" fillId="0" borderId="0" xfId="0" applyNumberFormat="1" applyFont="1"/>
    <xf numFmtId="164" fontId="8" fillId="0" borderId="0" xfId="0" applyNumberFormat="1" applyFont="1" applyAlignment="1">
      <alignment horizontal="right"/>
    </xf>
    <xf numFmtId="166" fontId="7" fillId="0" borderId="0" xfId="2" applyNumberFormat="1" applyFont="1" applyAlignment="1">
      <alignment horizontal="right"/>
    </xf>
    <xf numFmtId="164" fontId="16" fillId="0" borderId="0" xfId="0" applyNumberFormat="1" applyFont="1"/>
    <xf numFmtId="166" fontId="4" fillId="0" borderId="0" xfId="0" applyNumberFormat="1" applyFont="1"/>
    <xf numFmtId="164" fontId="1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 vertical="center"/>
    </xf>
    <xf numFmtId="164" fontId="18" fillId="0" borderId="0" xfId="0" applyNumberFormat="1" applyFont="1"/>
    <xf numFmtId="164" fontId="1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165" fontId="4" fillId="0" borderId="0" xfId="0" applyNumberFormat="1" applyFont="1"/>
    <xf numFmtId="164" fontId="7" fillId="0" borderId="0" xfId="0" applyNumberFormat="1" applyFont="1" applyAlignment="1">
      <alignment horizontal="right"/>
    </xf>
    <xf numFmtId="167" fontId="7" fillId="0" borderId="0" xfId="2" applyNumberFormat="1" applyFont="1" applyAlignment="1">
      <alignment horizontal="center"/>
    </xf>
    <xf numFmtId="167" fontId="7" fillId="0" borderId="0" xfId="2" applyNumberFormat="1" applyFont="1" applyAlignment="1">
      <alignment horizontal="right"/>
    </xf>
    <xf numFmtId="0" fontId="8" fillId="0" borderId="0" xfId="0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2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24" fillId="0" borderId="0" xfId="0" applyFont="1"/>
    <xf numFmtId="166" fontId="4" fillId="0" borderId="4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8" fontId="4" fillId="0" borderId="4" xfId="0" applyNumberFormat="1" applyFont="1" applyBorder="1"/>
    <xf numFmtId="168" fontId="4" fillId="0" borderId="6" xfId="0" applyNumberFormat="1" applyFont="1" applyBorder="1"/>
    <xf numFmtId="168" fontId="4" fillId="0" borderId="5" xfId="0" applyNumberFormat="1" applyFont="1" applyBorder="1"/>
    <xf numFmtId="168" fontId="4" fillId="0" borderId="0" xfId="0" applyNumberFormat="1" applyFont="1"/>
    <xf numFmtId="168" fontId="22" fillId="0" borderId="0" xfId="0" applyNumberFormat="1" applyFont="1"/>
    <xf numFmtId="0" fontId="4" fillId="0" borderId="1" xfId="0" applyFont="1" applyBorder="1" applyAlignment="1">
      <alignment horizontal="center"/>
    </xf>
    <xf numFmtId="164" fontId="25" fillId="0" borderId="0" xfId="0" applyNumberFormat="1" applyFont="1"/>
    <xf numFmtId="164" fontId="24" fillId="0" borderId="0" xfId="0" applyNumberFormat="1" applyFont="1"/>
    <xf numFmtId="165" fontId="7" fillId="0" borderId="0" xfId="2" applyNumberFormat="1" applyFont="1" applyAlignment="1">
      <alignment horizontal="right"/>
    </xf>
    <xf numFmtId="0" fontId="0" fillId="0" borderId="0" xfId="0" applyAlignment="1">
      <alignment horizontal="right" wrapText="1"/>
    </xf>
    <xf numFmtId="16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</cellXfs>
  <cellStyles count="3">
    <cellStyle name="Lien hypertexte" xfId="1" builtinId="8"/>
    <cellStyle name="Normal" xfId="0" builtinId="0"/>
    <cellStyle name="normální_401908ri10" xfId="2" xr:uid="{00000000-0005-0000-0000-000002000000}"/>
  </cellStyles>
  <dxfs count="0"/>
  <tableStyles count="0" defaultTableStyle="TableStyleMedium2" defaultPivotStyle="PivotStyleLight16"/>
  <colors>
    <mruColors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74662645191332E-2"/>
          <c:y val="5.1400554097404488E-2"/>
          <c:w val="0.90237522507488765"/>
          <c:h val="0.89719889180519163"/>
        </c:manualLayout>
      </c:layout>
      <c:scatterChart>
        <c:scatterStyle val="smoothMarker"/>
        <c:varyColors val="0"/>
        <c:ser>
          <c:idx val="2"/>
          <c:order val="0"/>
          <c:tx>
            <c:strRef>
              <c:f>gamma_ex!$D$2</c:f>
              <c:strCache>
                <c:ptCount val="1"/>
                <c:pt idx="0">
                  <c:v>fonction de densité</c:v>
                </c:pt>
              </c:strCache>
            </c:strRef>
          </c:tx>
          <c:marker>
            <c:symbol val="none"/>
          </c:marker>
          <c:dLbls>
            <c:dLbl>
              <c:idx val="3"/>
              <c:layout>
                <c:manualLayout>
                  <c:x val="6.1624180094371324E-2"/>
                  <c:y val="-8.5977906607828003E-2"/>
                </c:manualLayout>
              </c:layout>
              <c:tx>
                <c:strRef>
                  <c:f>gamma_ex!$A$23:$D$23</c:f>
                  <c:strCache>
                    <c:ptCount val="4"/>
                    <c:pt idx="0">
                      <c:v>α =</c:v>
                    </c:pt>
                    <c:pt idx="1">
                      <c:v>4</c:v>
                    </c:pt>
                    <c:pt idx="2">
                      <c:v>β =</c:v>
                    </c:pt>
                    <c:pt idx="3">
                      <c:v>1</c:v>
                    </c:pt>
                  </c:strCache>
                </c:strRef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{86709709-E49E-49BE-B581-97045894ACE6}</c15:txfldGUID>
                      <c15:f>gamma_ex!$A$23:$D$23</c15:f>
                      <c15:dlblFieldTableCache>
                        <c:ptCount val="4"/>
                        <c:pt idx="0">
                          <c:v>α =</c:v>
                        </c:pt>
                        <c:pt idx="1">
                          <c:v>4</c:v>
                        </c:pt>
                        <c:pt idx="2">
                          <c:v>β =</c:v>
                        </c:pt>
                        <c:pt idx="3">
                          <c:v>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196F-4F91-9496-53E983939F1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gamma_ex!$A$3:$A$18</c:f>
              <c:numCache>
                <c:formatCode>0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gamma_ex!$D$3:$D$18</c:f>
              <c:numCache>
                <c:formatCode>0.0000</c:formatCode>
                <c:ptCount val="16"/>
                <c:pt idx="0">
                  <c:v>0</c:v>
                </c:pt>
                <c:pt idx="1">
                  <c:v>6.1313240195240377E-2</c:v>
                </c:pt>
                <c:pt idx="2">
                  <c:v>0.18044704431548364</c:v>
                </c:pt>
                <c:pt idx="3">
                  <c:v>0.22404180765538778</c:v>
                </c:pt>
                <c:pt idx="4">
                  <c:v>0.19536681481316462</c:v>
                </c:pt>
                <c:pt idx="5">
                  <c:v>0.14037389581428059</c:v>
                </c:pt>
                <c:pt idx="6">
                  <c:v>8.9235078359988909E-2</c:v>
                </c:pt>
                <c:pt idx="7">
                  <c:v>5.2129252364199873E-2</c:v>
                </c:pt>
                <c:pt idx="8">
                  <c:v>2.8626144247681014E-2</c:v>
                </c:pt>
                <c:pt idx="9">
                  <c:v>1.4994291196531567E-2</c:v>
                </c:pt>
                <c:pt idx="10">
                  <c:v>7.5666549604141422E-3</c:v>
                </c:pt>
                <c:pt idx="11">
                  <c:v>3.7049939586361624E-3</c:v>
                </c:pt>
                <c:pt idx="12">
                  <c:v>1.7695331577585254E-3</c:v>
                </c:pt>
                <c:pt idx="13">
                  <c:v>8.2765728452289611E-4</c:v>
                </c:pt>
                <c:pt idx="14">
                  <c:v>3.802858008700317E-4</c:v>
                </c:pt>
                <c:pt idx="15">
                  <c:v>1.7207005528227699E-4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96F-4F91-9496-53E983939F12}"/>
            </c:ext>
          </c:extLst>
        </c:ser>
        <c:ser>
          <c:idx val="3"/>
          <c:order val="1"/>
          <c:tx>
            <c:strRef>
              <c:f>gamma_ex!$C$2</c:f>
              <c:strCache>
                <c:ptCount val="1"/>
                <c:pt idx="0">
                  <c:v>fonction de distribution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none"/>
          </c:marker>
          <c:xVal>
            <c:numRef>
              <c:f>gamma_ex!$A$3:$A$18</c:f>
              <c:numCache>
                <c:formatCode>0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gamma_ex!$C$3:$C$18</c:f>
              <c:numCache>
                <c:formatCode>0.0000</c:formatCode>
                <c:ptCount val="16"/>
                <c:pt idx="0">
                  <c:v>0</c:v>
                </c:pt>
                <c:pt idx="1">
                  <c:v>3.6598468273437122E-3</c:v>
                </c:pt>
                <c:pt idx="2">
                  <c:v>5.2653017343711139E-2</c:v>
                </c:pt>
                <c:pt idx="3">
                  <c:v>0.18473675547622792</c:v>
                </c:pt>
                <c:pt idx="4">
                  <c:v>0.37116306482012656</c:v>
                </c:pt>
                <c:pt idx="5">
                  <c:v>0.55950671493478765</c:v>
                </c:pt>
                <c:pt idx="6">
                  <c:v>0.71494349968336879</c:v>
                </c:pt>
                <c:pt idx="7">
                  <c:v>0.82700839211792865</c:v>
                </c:pt>
                <c:pt idx="8">
                  <c:v>0.90036759951295398</c:v>
                </c:pt>
                <c:pt idx="9">
                  <c:v>0.94503635850489509</c:v>
                </c:pt>
                <c:pt idx="10">
                  <c:v>0.97074731192303898</c:v>
                </c:pt>
                <c:pt idx="11">
                  <c:v>0.98489539934782155</c:v>
                </c:pt>
                <c:pt idx="12">
                  <c:v>0.99239960931893301</c:v>
                </c:pt>
                <c:pt idx="13">
                  <c:v>0.99625981409419007</c:v>
                </c:pt>
                <c:pt idx="14">
                  <c:v>0.99819475115082623</c:v>
                </c:pt>
                <c:pt idx="15">
                  <c:v>0.99914335878922467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96F-4F91-9496-53E983939F12}"/>
            </c:ext>
          </c:extLst>
        </c:ser>
        <c:ser>
          <c:idx val="0"/>
          <c:order val="2"/>
          <c:tx>
            <c:strRef>
              <c:f>gamma_ex!$B$2</c:f>
              <c:strCache>
                <c:ptCount val="1"/>
                <c:pt idx="0">
                  <c:v>fonction de densité</c:v>
                </c:pt>
              </c:strCache>
            </c:strRef>
          </c:tx>
          <c:marker>
            <c:symbol val="none"/>
          </c:marker>
          <c:dLbls>
            <c:dLbl>
              <c:idx val="5"/>
              <c:layout>
                <c:manualLayout>
                  <c:x val="2.0325203252032522E-3"/>
                  <c:y val="-3.8323348474911784E-2"/>
                </c:manualLayout>
              </c:layout>
              <c:tx>
                <c:strRef>
                  <c:f>gamma_ex!$A$22:$D$22</c:f>
                  <c:strCache>
                    <c:ptCount val="4"/>
                    <c:pt idx="0">
                      <c:v>α =</c:v>
                    </c:pt>
                    <c:pt idx="1">
                      <c:v>5</c:v>
                    </c:pt>
                    <c:pt idx="2">
                      <c:v>β =</c:v>
                    </c:pt>
                    <c:pt idx="3">
                      <c:v>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{D710793A-B548-487F-8E16-EF521A78827F}</c15:txfldGUID>
                      <c15:f>gamma_ex!$A$22:$D$22</c15:f>
                      <c15:dlblFieldTableCache>
                        <c:ptCount val="4"/>
                        <c:pt idx="0">
                          <c:v>α =</c:v>
                        </c:pt>
                        <c:pt idx="1">
                          <c:v>5</c:v>
                        </c:pt>
                        <c:pt idx="2">
                          <c:v>β =</c:v>
                        </c:pt>
                        <c:pt idx="3">
                          <c:v>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196F-4F91-9496-53E983939F12}"/>
                </c:ext>
              </c:extLst>
            </c:dLbl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gamma_ex!$A$3:$A$18</c:f>
              <c:numCache>
                <c:formatCode>0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gamma_ex!$B$3:$B$18</c:f>
              <c:numCache>
                <c:formatCode>0.0000</c:formatCode>
                <c:ptCount val="16"/>
                <c:pt idx="0">
                  <c:v>0</c:v>
                </c:pt>
                <c:pt idx="1">
                  <c:v>1.53283100488101E-2</c:v>
                </c:pt>
                <c:pt idx="2">
                  <c:v>9.0223522157741792E-2</c:v>
                </c:pt>
                <c:pt idx="3">
                  <c:v>0.16803135574154082</c:v>
                </c:pt>
                <c:pt idx="4">
                  <c:v>0.19536681481316462</c:v>
                </c:pt>
                <c:pt idx="5">
                  <c:v>0.17546736976785071</c:v>
                </c:pt>
                <c:pt idx="6">
                  <c:v>0.13385261753998337</c:v>
                </c:pt>
                <c:pt idx="7">
                  <c:v>9.1226191637349741E-2</c:v>
                </c:pt>
                <c:pt idx="8">
                  <c:v>5.7252288495362035E-2</c:v>
                </c:pt>
                <c:pt idx="9">
                  <c:v>3.3737155192196021E-2</c:v>
                </c:pt>
                <c:pt idx="10">
                  <c:v>1.8916637401035358E-2</c:v>
                </c:pt>
                <c:pt idx="11">
                  <c:v>1.0188733386249446E-2</c:v>
                </c:pt>
                <c:pt idx="12">
                  <c:v>5.308599473275573E-3</c:v>
                </c:pt>
                <c:pt idx="13">
                  <c:v>2.6898861746994115E-3</c:v>
                </c:pt>
                <c:pt idx="14">
                  <c:v>1.3310003030451104E-3</c:v>
                </c:pt>
                <c:pt idx="15">
                  <c:v>6.4526270730853917E-4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96F-4F91-9496-53E983939F12}"/>
            </c:ext>
          </c:extLst>
        </c:ser>
        <c:ser>
          <c:idx val="1"/>
          <c:order val="3"/>
          <c:tx>
            <c:strRef>
              <c:f>gamma_ex!$C$1</c:f>
              <c:strCache>
                <c:ptCount val="1"/>
              </c:strCache>
            </c:strRef>
          </c:tx>
          <c:spPr>
            <a:ln>
              <a:solidFill>
                <a:schemeClr val="accent3"/>
              </a:solidFill>
              <a:prstDash val="dash"/>
            </a:ln>
          </c:spPr>
          <c:marker>
            <c:symbol val="none"/>
          </c:marker>
          <c:xVal>
            <c:numRef>
              <c:f>gamma_ex!$A$3:$A$18</c:f>
              <c:numCache>
                <c:formatCode>0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gamma_ex!$E$3:$E$18</c:f>
              <c:numCache>
                <c:formatCode>0.0000</c:formatCode>
                <c:ptCount val="16"/>
                <c:pt idx="0">
                  <c:v>0</c:v>
                </c:pt>
                <c:pt idx="1">
                  <c:v>1.8988156876153805E-2</c:v>
                </c:pt>
                <c:pt idx="2">
                  <c:v>0.14287653950145301</c:v>
                </c:pt>
                <c:pt idx="3">
                  <c:v>0.35276811121776874</c:v>
                </c:pt>
                <c:pt idx="4">
                  <c:v>0.56652987963329104</c:v>
                </c:pt>
                <c:pt idx="5">
                  <c:v>0.73497408470263825</c:v>
                </c:pt>
                <c:pt idx="6">
                  <c:v>0.84879611722335213</c:v>
                </c:pt>
                <c:pt idx="7">
                  <c:v>0.91823458375527833</c:v>
                </c:pt>
                <c:pt idx="8">
                  <c:v>0.95761988800831599</c:v>
                </c:pt>
                <c:pt idx="9">
                  <c:v>0.97877351369709109</c:v>
                </c:pt>
                <c:pt idx="10">
                  <c:v>0.98966394932407431</c:v>
                </c:pt>
                <c:pt idx="11">
                  <c:v>0.99508413273407104</c:v>
                </c:pt>
                <c:pt idx="12">
                  <c:v>0.99770820879220856</c:v>
                </c:pt>
                <c:pt idx="13">
                  <c:v>0.99894970026888941</c:v>
                </c:pt>
                <c:pt idx="14">
                  <c:v>0.99952575145387135</c:v>
                </c:pt>
                <c:pt idx="15">
                  <c:v>0.99978862149653325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96F-4F91-9496-53E983939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8316176"/>
        <c:axId val="1358308560"/>
      </c:scatterChart>
      <c:valAx>
        <c:axId val="1358316176"/>
        <c:scaling>
          <c:orientation val="minMax"/>
          <c:max val="15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358308560"/>
        <c:crosses val="autoZero"/>
        <c:crossBetween val="midCat"/>
        <c:majorUnit val="1"/>
      </c:valAx>
      <c:valAx>
        <c:axId val="1358308560"/>
        <c:scaling>
          <c:orientation val="minMax"/>
          <c:max val="1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358316176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5572291889439762"/>
          <c:y val="0.44791947469854332"/>
          <c:w val="0.36858457627861446"/>
          <c:h val="0.1241723630700008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74662645191332E-2"/>
          <c:y val="5.1400554097404488E-2"/>
          <c:w val="0.90237522507488765"/>
          <c:h val="0.89719889180519163"/>
        </c:manualLayout>
      </c:layout>
      <c:scatterChart>
        <c:scatterStyle val="smoothMarker"/>
        <c:varyColors val="0"/>
        <c:ser>
          <c:idx val="2"/>
          <c:order val="0"/>
          <c:tx>
            <c:strRef>
              <c:f>gamma_ex!$D$2</c:f>
              <c:strCache>
                <c:ptCount val="1"/>
                <c:pt idx="0">
                  <c:v>fonction de densité</c:v>
                </c:pt>
              </c:strCache>
            </c:strRef>
          </c:tx>
          <c:marker>
            <c:symbol val="none"/>
          </c:marker>
          <c:dLbls>
            <c:dLbl>
              <c:idx val="3"/>
              <c:layout>
                <c:manualLayout>
                  <c:x val="3.7664783427495248E-2"/>
                  <c:y val="-3.2786885245901641E-2"/>
                </c:manualLayout>
              </c:layout>
              <c:tx>
                <c:strRef>
                  <c:f>gamma_ex!$A$23:$D$23</c:f>
                  <c:strCache>
                    <c:ptCount val="4"/>
                    <c:pt idx="0">
                      <c:v>α =</c:v>
                    </c:pt>
                    <c:pt idx="1">
                      <c:v>4</c:v>
                    </c:pt>
                    <c:pt idx="2">
                      <c:v>β =</c:v>
                    </c:pt>
                    <c:pt idx="3">
                      <c:v>1</c:v>
                    </c:pt>
                  </c:strCache>
                </c:strRef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{605A367B-9C08-4C24-9D92-65AE7E9B0BE6}</c15:txfldGUID>
                      <c15:f>gamma_ex!$A$23:$D$23</c15:f>
                      <c15:dlblFieldTableCache>
                        <c:ptCount val="4"/>
                        <c:pt idx="0">
                          <c:v>α =</c:v>
                        </c:pt>
                        <c:pt idx="1">
                          <c:v>4</c:v>
                        </c:pt>
                        <c:pt idx="2">
                          <c:v>β =</c:v>
                        </c:pt>
                        <c:pt idx="3">
                          <c:v>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E17-4DF3-A534-B0AB31E2FB85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gamma_ex!$A$3:$A$18</c:f>
              <c:numCache>
                <c:formatCode>0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gamma_ex!$D$3:$D$18</c:f>
              <c:numCache>
                <c:formatCode>0.0000</c:formatCode>
                <c:ptCount val="16"/>
                <c:pt idx="0">
                  <c:v>0</c:v>
                </c:pt>
                <c:pt idx="1">
                  <c:v>6.1313240195240377E-2</c:v>
                </c:pt>
                <c:pt idx="2">
                  <c:v>0.18044704431548364</c:v>
                </c:pt>
                <c:pt idx="3">
                  <c:v>0.22404180765538778</c:v>
                </c:pt>
                <c:pt idx="4">
                  <c:v>0.19536681481316462</c:v>
                </c:pt>
                <c:pt idx="5">
                  <c:v>0.14037389581428059</c:v>
                </c:pt>
                <c:pt idx="6">
                  <c:v>8.9235078359988909E-2</c:v>
                </c:pt>
                <c:pt idx="7">
                  <c:v>5.2129252364199873E-2</c:v>
                </c:pt>
                <c:pt idx="8">
                  <c:v>2.8626144247681014E-2</c:v>
                </c:pt>
                <c:pt idx="9">
                  <c:v>1.4994291196531567E-2</c:v>
                </c:pt>
                <c:pt idx="10">
                  <c:v>7.5666549604141422E-3</c:v>
                </c:pt>
                <c:pt idx="11">
                  <c:v>3.7049939586361624E-3</c:v>
                </c:pt>
                <c:pt idx="12">
                  <c:v>1.7695331577585254E-3</c:v>
                </c:pt>
                <c:pt idx="13">
                  <c:v>8.2765728452289611E-4</c:v>
                </c:pt>
                <c:pt idx="14">
                  <c:v>3.802858008700317E-4</c:v>
                </c:pt>
                <c:pt idx="15">
                  <c:v>1.7207005528227699E-4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17-4DF3-A534-B0AB31E2FB85}"/>
            </c:ext>
          </c:extLst>
        </c:ser>
        <c:ser>
          <c:idx val="0"/>
          <c:order val="1"/>
          <c:tx>
            <c:strRef>
              <c:f>gamma_ex!$B$2</c:f>
              <c:strCache>
                <c:ptCount val="1"/>
                <c:pt idx="0">
                  <c:v>fonction de densité</c:v>
                </c:pt>
              </c:strCache>
            </c:strRef>
          </c:tx>
          <c:marker>
            <c:symbol val="none"/>
          </c:marker>
          <c:dLbls>
            <c:dLbl>
              <c:idx val="5"/>
              <c:layout>
                <c:manualLayout>
                  <c:x val="1.2076456544626791E-2"/>
                  <c:y val="-5.2895314315218829E-2"/>
                </c:manualLayout>
              </c:layout>
              <c:tx>
                <c:strRef>
                  <c:f>gamma_ex!$A$22:$D$22</c:f>
                  <c:strCache>
                    <c:ptCount val="4"/>
                    <c:pt idx="0">
                      <c:v>α =</c:v>
                    </c:pt>
                    <c:pt idx="1">
                      <c:v>5</c:v>
                    </c:pt>
                    <c:pt idx="2">
                      <c:v>β =</c:v>
                    </c:pt>
                    <c:pt idx="3">
                      <c:v>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{CB91D1BA-D3C7-45EB-8469-7F573BF30E58}</c15:txfldGUID>
                      <c15:f>gamma_ex!$A$22:$D$22</c15:f>
                      <c15:dlblFieldTableCache>
                        <c:ptCount val="4"/>
                        <c:pt idx="0">
                          <c:v>α =</c:v>
                        </c:pt>
                        <c:pt idx="1">
                          <c:v>5</c:v>
                        </c:pt>
                        <c:pt idx="2">
                          <c:v>β =</c:v>
                        </c:pt>
                        <c:pt idx="3">
                          <c:v>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6E17-4DF3-A534-B0AB31E2FB85}"/>
                </c:ext>
              </c:extLst>
            </c:dLbl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gamma_ex!$A$3:$A$18</c:f>
              <c:numCache>
                <c:formatCode>0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gamma_ex!$B$3:$B$18</c:f>
              <c:numCache>
                <c:formatCode>0.0000</c:formatCode>
                <c:ptCount val="16"/>
                <c:pt idx="0">
                  <c:v>0</c:v>
                </c:pt>
                <c:pt idx="1">
                  <c:v>1.53283100488101E-2</c:v>
                </c:pt>
                <c:pt idx="2">
                  <c:v>9.0223522157741792E-2</c:v>
                </c:pt>
                <c:pt idx="3">
                  <c:v>0.16803135574154082</c:v>
                </c:pt>
                <c:pt idx="4">
                  <c:v>0.19536681481316462</c:v>
                </c:pt>
                <c:pt idx="5">
                  <c:v>0.17546736976785071</c:v>
                </c:pt>
                <c:pt idx="6">
                  <c:v>0.13385261753998337</c:v>
                </c:pt>
                <c:pt idx="7">
                  <c:v>9.1226191637349741E-2</c:v>
                </c:pt>
                <c:pt idx="8">
                  <c:v>5.7252288495362035E-2</c:v>
                </c:pt>
                <c:pt idx="9">
                  <c:v>3.3737155192196021E-2</c:v>
                </c:pt>
                <c:pt idx="10">
                  <c:v>1.8916637401035358E-2</c:v>
                </c:pt>
                <c:pt idx="11">
                  <c:v>1.0188733386249446E-2</c:v>
                </c:pt>
                <c:pt idx="12">
                  <c:v>5.308599473275573E-3</c:v>
                </c:pt>
                <c:pt idx="13">
                  <c:v>2.6898861746994115E-3</c:v>
                </c:pt>
                <c:pt idx="14">
                  <c:v>1.3310003030451104E-3</c:v>
                </c:pt>
                <c:pt idx="15">
                  <c:v>6.4526270730853917E-4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E17-4DF3-A534-B0AB31E2F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8301488"/>
        <c:axId val="1358309648"/>
      </c:scatterChart>
      <c:valAx>
        <c:axId val="1358301488"/>
        <c:scaling>
          <c:orientation val="minMax"/>
          <c:max val="15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358309648"/>
        <c:crosses val="autoZero"/>
        <c:crossBetween val="midCat"/>
        <c:majorUnit val="1"/>
      </c:valAx>
      <c:valAx>
        <c:axId val="1358309648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358301488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2302756620032E-2"/>
          <c:y val="9.9222467016508303E-2"/>
          <c:w val="0.88613172899667036"/>
          <c:h val="0.7981725697546734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gamma_P!$C$2</c:f>
              <c:strCache>
                <c:ptCount val="1"/>
                <c:pt idx="0">
                  <c:v>observés</c:v>
                </c:pt>
              </c:strCache>
            </c:strRef>
          </c:tx>
          <c:marker>
            <c:symbol val="diamond"/>
            <c:size val="6"/>
          </c:marker>
          <c:xVal>
            <c:numRef>
              <c:f>gamma_P!$B$3:$B$37</c:f>
              <c:numCache>
                <c:formatCode>0.0</c:formatCode>
                <c:ptCount val="35"/>
                <c:pt idx="0">
                  <c:v>15.5</c:v>
                </c:pt>
                <c:pt idx="1">
                  <c:v>16.5</c:v>
                </c:pt>
                <c:pt idx="2">
                  <c:v>17.5</c:v>
                </c:pt>
                <c:pt idx="3">
                  <c:v>18.5</c:v>
                </c:pt>
                <c:pt idx="4">
                  <c:v>19.5</c:v>
                </c:pt>
                <c:pt idx="5">
                  <c:v>20.5</c:v>
                </c:pt>
                <c:pt idx="6">
                  <c:v>21.5</c:v>
                </c:pt>
                <c:pt idx="7">
                  <c:v>22.5</c:v>
                </c:pt>
                <c:pt idx="8">
                  <c:v>23.5</c:v>
                </c:pt>
                <c:pt idx="9">
                  <c:v>24.5</c:v>
                </c:pt>
                <c:pt idx="10">
                  <c:v>25.5</c:v>
                </c:pt>
                <c:pt idx="11">
                  <c:v>26.5</c:v>
                </c:pt>
                <c:pt idx="12">
                  <c:v>27.5</c:v>
                </c:pt>
                <c:pt idx="13">
                  <c:v>28.5</c:v>
                </c:pt>
                <c:pt idx="14">
                  <c:v>29.5</c:v>
                </c:pt>
                <c:pt idx="15">
                  <c:v>30.5</c:v>
                </c:pt>
                <c:pt idx="16">
                  <c:v>31.5</c:v>
                </c:pt>
                <c:pt idx="17">
                  <c:v>32.5</c:v>
                </c:pt>
                <c:pt idx="18">
                  <c:v>33.5</c:v>
                </c:pt>
                <c:pt idx="19">
                  <c:v>34.5</c:v>
                </c:pt>
                <c:pt idx="20">
                  <c:v>35.5</c:v>
                </c:pt>
                <c:pt idx="21">
                  <c:v>36.5</c:v>
                </c:pt>
                <c:pt idx="22">
                  <c:v>37.5</c:v>
                </c:pt>
                <c:pt idx="23">
                  <c:v>38.5</c:v>
                </c:pt>
                <c:pt idx="24">
                  <c:v>39.5</c:v>
                </c:pt>
                <c:pt idx="25">
                  <c:v>40.5</c:v>
                </c:pt>
                <c:pt idx="26">
                  <c:v>41.5</c:v>
                </c:pt>
                <c:pt idx="27">
                  <c:v>42.5</c:v>
                </c:pt>
                <c:pt idx="28">
                  <c:v>43.5</c:v>
                </c:pt>
                <c:pt idx="29">
                  <c:v>44.5</c:v>
                </c:pt>
                <c:pt idx="30">
                  <c:v>45.5</c:v>
                </c:pt>
                <c:pt idx="31">
                  <c:v>46.5</c:v>
                </c:pt>
                <c:pt idx="32">
                  <c:v>47.5</c:v>
                </c:pt>
                <c:pt idx="33">
                  <c:v>48.5</c:v>
                </c:pt>
                <c:pt idx="34">
                  <c:v>49.5</c:v>
                </c:pt>
              </c:numCache>
            </c:numRef>
          </c:xVal>
          <c:yVal>
            <c:numRef>
              <c:f>gamma_P!$C$3:$C$37</c:f>
              <c:numCache>
                <c:formatCode>0.0000</c:formatCode>
                <c:ptCount val="35"/>
                <c:pt idx="0">
                  <c:v>1.3612130955820828E-3</c:v>
                </c:pt>
                <c:pt idx="1">
                  <c:v>2.9526766957771729E-3</c:v>
                </c:pt>
                <c:pt idx="2">
                  <c:v>6.7560996693536183E-3</c:v>
                </c:pt>
                <c:pt idx="3">
                  <c:v>1.3237440744125105E-2</c:v>
                </c:pt>
                <c:pt idx="4">
                  <c:v>2.4081113713098266E-2</c:v>
                </c:pt>
                <c:pt idx="5">
                  <c:v>3.4254313560280553E-2</c:v>
                </c:pt>
                <c:pt idx="6">
                  <c:v>4.5648053356578851E-2</c:v>
                </c:pt>
                <c:pt idx="7">
                  <c:v>5.8466301045269536E-2</c:v>
                </c:pt>
                <c:pt idx="8">
                  <c:v>7.3929400178342944E-2</c:v>
                </c:pt>
                <c:pt idx="9">
                  <c:v>8.950618072390723E-2</c:v>
                </c:pt>
                <c:pt idx="10">
                  <c:v>0.10820406337352576</c:v>
                </c:pt>
                <c:pt idx="11">
                  <c:v>0.1234393881020724</c:v>
                </c:pt>
                <c:pt idx="12">
                  <c:v>0.13814579856459208</c:v>
                </c:pt>
                <c:pt idx="13">
                  <c:v>0.14740084236827947</c:v>
                </c:pt>
                <c:pt idx="14">
                  <c:v>0.15164925485069577</c:v>
                </c:pt>
                <c:pt idx="15">
                  <c:v>0.15016069522944989</c:v>
                </c:pt>
                <c:pt idx="16">
                  <c:v>0.14161067484011428</c:v>
                </c:pt>
                <c:pt idx="17">
                  <c:v>0.1304385112343491</c:v>
                </c:pt>
                <c:pt idx="18">
                  <c:v>0.11578762757606138</c:v>
                </c:pt>
                <c:pt idx="19">
                  <c:v>9.9532267289265647E-2</c:v>
                </c:pt>
                <c:pt idx="20">
                  <c:v>8.6652349180564761E-2</c:v>
                </c:pt>
                <c:pt idx="21">
                  <c:v>7.0516734456165395E-2</c:v>
                </c:pt>
                <c:pt idx="22">
                  <c:v>5.637376752682028E-2</c:v>
                </c:pt>
                <c:pt idx="23">
                  <c:v>4.410406677321968E-2</c:v>
                </c:pt>
                <c:pt idx="24">
                  <c:v>3.4239400183073233E-2</c:v>
                </c:pt>
                <c:pt idx="25">
                  <c:v>2.4684952828256626E-2</c:v>
                </c:pt>
                <c:pt idx="26">
                  <c:v>1.6428809828841713E-2</c:v>
                </c:pt>
                <c:pt idx="27">
                  <c:v>1.0509645342598567E-2</c:v>
                </c:pt>
                <c:pt idx="28">
                  <c:v>6.1990182426953123E-3</c:v>
                </c:pt>
                <c:pt idx="29">
                  <c:v>3.2773673606447278E-3</c:v>
                </c:pt>
                <c:pt idx="30">
                  <c:v>1.711290638996368E-3</c:v>
                </c:pt>
                <c:pt idx="31">
                  <c:v>8.7696336524198772E-4</c:v>
                </c:pt>
                <c:pt idx="32">
                  <c:v>4.1730060643928671E-4</c:v>
                </c:pt>
                <c:pt idx="33">
                  <c:v>2.0124865643652662E-4</c:v>
                </c:pt>
                <c:pt idx="34">
                  <c:v>4.119940627077852E-4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E8-41CD-8D4A-5D1C7520C316}"/>
            </c:ext>
          </c:extLst>
        </c:ser>
        <c:ser>
          <c:idx val="1"/>
          <c:order val="1"/>
          <c:tx>
            <c:strRef>
              <c:f>gamma_P!$G$2</c:f>
              <c:strCache>
                <c:ptCount val="1"/>
                <c:pt idx="0">
                  <c:v>ajustés: gamma</c:v>
                </c:pt>
              </c:strCache>
            </c:strRef>
          </c:tx>
          <c:marker>
            <c:symbol val="square"/>
            <c:size val="5"/>
          </c:marker>
          <c:xVal>
            <c:numRef>
              <c:f>gamma_P!$B$3:$B$37</c:f>
              <c:numCache>
                <c:formatCode>0.0</c:formatCode>
                <c:ptCount val="35"/>
                <c:pt idx="0">
                  <c:v>15.5</c:v>
                </c:pt>
                <c:pt idx="1">
                  <c:v>16.5</c:v>
                </c:pt>
                <c:pt idx="2">
                  <c:v>17.5</c:v>
                </c:pt>
                <c:pt idx="3">
                  <c:v>18.5</c:v>
                </c:pt>
                <c:pt idx="4">
                  <c:v>19.5</c:v>
                </c:pt>
                <c:pt idx="5">
                  <c:v>20.5</c:v>
                </c:pt>
                <c:pt idx="6">
                  <c:v>21.5</c:v>
                </c:pt>
                <c:pt idx="7">
                  <c:v>22.5</c:v>
                </c:pt>
                <c:pt idx="8">
                  <c:v>23.5</c:v>
                </c:pt>
                <c:pt idx="9">
                  <c:v>24.5</c:v>
                </c:pt>
                <c:pt idx="10">
                  <c:v>25.5</c:v>
                </c:pt>
                <c:pt idx="11">
                  <c:v>26.5</c:v>
                </c:pt>
                <c:pt idx="12">
                  <c:v>27.5</c:v>
                </c:pt>
                <c:pt idx="13">
                  <c:v>28.5</c:v>
                </c:pt>
                <c:pt idx="14">
                  <c:v>29.5</c:v>
                </c:pt>
                <c:pt idx="15">
                  <c:v>30.5</c:v>
                </c:pt>
                <c:pt idx="16">
                  <c:v>31.5</c:v>
                </c:pt>
                <c:pt idx="17">
                  <c:v>32.5</c:v>
                </c:pt>
                <c:pt idx="18">
                  <c:v>33.5</c:v>
                </c:pt>
                <c:pt idx="19">
                  <c:v>34.5</c:v>
                </c:pt>
                <c:pt idx="20">
                  <c:v>35.5</c:v>
                </c:pt>
                <c:pt idx="21">
                  <c:v>36.5</c:v>
                </c:pt>
                <c:pt idx="22">
                  <c:v>37.5</c:v>
                </c:pt>
                <c:pt idx="23">
                  <c:v>38.5</c:v>
                </c:pt>
                <c:pt idx="24">
                  <c:v>39.5</c:v>
                </c:pt>
                <c:pt idx="25">
                  <c:v>40.5</c:v>
                </c:pt>
                <c:pt idx="26">
                  <c:v>41.5</c:v>
                </c:pt>
                <c:pt idx="27">
                  <c:v>42.5</c:v>
                </c:pt>
                <c:pt idx="28">
                  <c:v>43.5</c:v>
                </c:pt>
                <c:pt idx="29">
                  <c:v>44.5</c:v>
                </c:pt>
                <c:pt idx="30">
                  <c:v>45.5</c:v>
                </c:pt>
                <c:pt idx="31">
                  <c:v>46.5</c:v>
                </c:pt>
                <c:pt idx="32">
                  <c:v>47.5</c:v>
                </c:pt>
                <c:pt idx="33">
                  <c:v>48.5</c:v>
                </c:pt>
                <c:pt idx="34">
                  <c:v>49.5</c:v>
                </c:pt>
              </c:numCache>
            </c:numRef>
          </c:xVal>
          <c:yVal>
            <c:numRef>
              <c:f>gamma_P!$G$3:$G$37</c:f>
              <c:numCache>
                <c:formatCode>0.00000</c:formatCode>
                <c:ptCount val="35"/>
                <c:pt idx="0">
                  <c:v>1.0574094523573699E-8</c:v>
                </c:pt>
                <c:pt idx="1">
                  <c:v>1.5996844334953442E-5</c:v>
                </c:pt>
                <c:pt idx="2">
                  <c:v>3.6009957632328034E-4</c:v>
                </c:pt>
                <c:pt idx="3">
                  <c:v>2.3267724066355485E-3</c:v>
                </c:pt>
                <c:pt idx="4">
                  <c:v>8.172093479782894E-3</c:v>
                </c:pt>
                <c:pt idx="5">
                  <c:v>1.997393412785153E-2</c:v>
                </c:pt>
                <c:pt idx="6">
                  <c:v>3.837791168785247E-2</c:v>
                </c:pt>
                <c:pt idx="7">
                  <c:v>6.2119720679253844E-2</c:v>
                </c:pt>
                <c:pt idx="8">
                  <c:v>8.8432138700651697E-2</c:v>
                </c:pt>
                <c:pt idx="9">
                  <c:v>0.11393565801271154</c:v>
                </c:pt>
                <c:pt idx="10">
                  <c:v>0.13554036955325469</c:v>
                </c:pt>
                <c:pt idx="11">
                  <c:v>0.15106012971794774</c:v>
                </c:pt>
                <c:pt idx="12">
                  <c:v>0.15945331017130429</c:v>
                </c:pt>
                <c:pt idx="13">
                  <c:v>0.16075184389044375</c:v>
                </c:pt>
                <c:pt idx="14">
                  <c:v>0.15580187199283435</c:v>
                </c:pt>
                <c:pt idx="15">
                  <c:v>0.14593758468113716</c:v>
                </c:pt>
                <c:pt idx="16">
                  <c:v>0.1326765369664642</c:v>
                </c:pt>
                <c:pt idx="17">
                  <c:v>0.11748450389008769</c:v>
                </c:pt>
                <c:pt idx="18">
                  <c:v>0.10162457539829474</c:v>
                </c:pt>
                <c:pt idx="19">
                  <c:v>8.6083463058382687E-2</c:v>
                </c:pt>
                <c:pt idx="20">
                  <c:v>7.1557286261364192E-2</c:v>
                </c:pt>
                <c:pt idx="21">
                  <c:v>5.8476491244876388E-2</c:v>
                </c:pt>
                <c:pt idx="22">
                  <c:v>4.7051747936948017E-2</c:v>
                </c:pt>
                <c:pt idx="23">
                  <c:v>3.7326992275299807E-2</c:v>
                </c:pt>
                <c:pt idx="24">
                  <c:v>2.9230450712588136E-2</c:v>
                </c:pt>
                <c:pt idx="25">
                  <c:v>2.2618524602304985E-2</c:v>
                </c:pt>
                <c:pt idx="26">
                  <c:v>1.7310443028911812E-2</c:v>
                </c:pt>
                <c:pt idx="27">
                  <c:v>1.3113596083448727E-2</c:v>
                </c:pt>
                <c:pt idx="28">
                  <c:v>9.8406024208724258E-3</c:v>
                </c:pt>
                <c:pt idx="29">
                  <c:v>7.319672091740244E-3</c:v>
                </c:pt>
                <c:pt idx="30">
                  <c:v>5.3999162699582774E-3</c:v>
                </c:pt>
                <c:pt idx="31">
                  <c:v>3.9531069402727178E-3</c:v>
                </c:pt>
                <c:pt idx="32">
                  <c:v>2.8731300339650185E-3</c:v>
                </c:pt>
                <c:pt idx="33">
                  <c:v>2.074088179840942E-3</c:v>
                </c:pt>
                <c:pt idx="34">
                  <c:v>1.48774201410173E-3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E8-41CD-8D4A-5D1C7520C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72991104"/>
        <c:axId val="-1872986752"/>
      </c:scatterChart>
      <c:valAx>
        <c:axId val="-1872991104"/>
        <c:scaling>
          <c:orientation val="minMax"/>
          <c:max val="49.5"/>
          <c:min val="15.5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-1872986752"/>
        <c:crosses val="autoZero"/>
        <c:crossBetween val="midCat"/>
        <c:majorUnit val="5"/>
      </c:valAx>
      <c:valAx>
        <c:axId val="-1872986752"/>
        <c:scaling>
          <c:orientation val="minMax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-1872991104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0912031157395663"/>
          <c:y val="0.20618560244841388"/>
          <c:w val="0.28756129748487386"/>
          <c:h val="0.13462294820867743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68285214348206E-2"/>
          <c:y val="7.9178331875182334E-2"/>
          <c:w val="0.9029136045494317"/>
          <c:h val="0.80021216097987746"/>
        </c:manualLayout>
      </c:layout>
      <c:lineChart>
        <c:grouping val="standard"/>
        <c:varyColors val="0"/>
        <c:ser>
          <c:idx val="0"/>
          <c:order val="0"/>
          <c:tx>
            <c:strRef>
              <c:f>gamma_P!$C$56</c:f>
              <c:strCache>
                <c:ptCount val="1"/>
                <c:pt idx="0">
                  <c:v>observés</c:v>
                </c:pt>
              </c:strCache>
            </c:strRef>
          </c:tx>
          <c:marker>
            <c:symbol val="diamond"/>
            <c:size val="8"/>
          </c:marker>
          <c:cat>
            <c:strRef>
              <c:f>gamma_P!$A$57:$A$63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gamma_P!$C$57:$C$63</c:f>
              <c:numCache>
                <c:formatCode>0.0000</c:formatCode>
                <c:ptCount val="7"/>
                <c:pt idx="0">
                  <c:v>4.8388543917936247E-2</c:v>
                </c:pt>
                <c:pt idx="1">
                  <c:v>0.30180424886437907</c:v>
                </c:pt>
                <c:pt idx="2">
                  <c:v>0.66883934725916561</c:v>
                </c:pt>
                <c:pt idx="3">
                  <c:v>0.63752977616924023</c:v>
                </c:pt>
                <c:pt idx="4">
                  <c:v>0.29188631811984334</c:v>
                </c:pt>
                <c:pt idx="5">
                  <c:v>6.1099793603036939E-2</c:v>
                </c:pt>
                <c:pt idx="6">
                  <c:v>3.618797329821954E-3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E-4FDE-9A18-A9CDF6953908}"/>
            </c:ext>
          </c:extLst>
        </c:ser>
        <c:ser>
          <c:idx val="1"/>
          <c:order val="1"/>
          <c:tx>
            <c:strRef>
              <c:f>gamma_P!$G$56</c:f>
              <c:strCache>
                <c:ptCount val="1"/>
                <c:pt idx="0">
                  <c:v>ajustés: gamma</c:v>
                </c:pt>
              </c:strCache>
            </c:strRef>
          </c:tx>
          <c:cat>
            <c:strRef>
              <c:f>gamma_P!$A$57:$A$63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gamma_P!$G$57:$G$63</c:f>
              <c:numCache>
                <c:formatCode>0.0000</c:formatCode>
                <c:ptCount val="7"/>
                <c:pt idx="0">
                  <c:v>2.9285859220211938E-3</c:v>
                </c:pt>
                <c:pt idx="1">
                  <c:v>0.33287842344998081</c:v>
                </c:pt>
                <c:pt idx="2">
                  <c:v>0.77590143502748832</c:v>
                </c:pt>
                <c:pt idx="3">
                  <c:v>0.57093864654919591</c:v>
                </c:pt>
                <c:pt idx="4">
                  <c:v>0.23922220950881537</c:v>
                </c:pt>
                <c:pt idx="5">
                  <c:v>7.1707763497869448E-2</c:v>
                </c:pt>
                <c:pt idx="6">
                  <c:v>1.7210159570035168E-2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E-4FDE-9A18-A9CDF6953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72997632"/>
        <c:axId val="-1872998720"/>
      </c:lineChart>
      <c:catAx>
        <c:axId val="-187299763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872998720"/>
        <c:crosses val="autoZero"/>
        <c:auto val="1"/>
        <c:lblAlgn val="ctr"/>
        <c:lblOffset val="100"/>
        <c:noMultiLvlLbl val="0"/>
      </c:catAx>
      <c:valAx>
        <c:axId val="-1872998720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87299763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61746822401457835"/>
          <c:y val="0.20794947506561709"/>
          <c:w val="0.3173790320005625"/>
          <c:h val="0.1496210268305640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gamma_P!$I$1</c:f>
          <c:strCache>
            <c:ptCount val="1"/>
            <c:pt idx="0">
              <c:v>fonction "loi.gamma.n(…;faux)"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17171296296296296"/>
          <c:w val="0.82302974628171466"/>
          <c:h val="0.720887649460484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gamma_P!$C$2</c:f>
              <c:strCache>
                <c:ptCount val="1"/>
                <c:pt idx="0">
                  <c:v>observés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gamma_P!$B$3:$B$37</c:f>
              <c:numCache>
                <c:formatCode>0.0</c:formatCode>
                <c:ptCount val="35"/>
                <c:pt idx="0">
                  <c:v>15.5</c:v>
                </c:pt>
                <c:pt idx="1">
                  <c:v>16.5</c:v>
                </c:pt>
                <c:pt idx="2">
                  <c:v>17.5</c:v>
                </c:pt>
                <c:pt idx="3">
                  <c:v>18.5</c:v>
                </c:pt>
                <c:pt idx="4">
                  <c:v>19.5</c:v>
                </c:pt>
                <c:pt idx="5">
                  <c:v>20.5</c:v>
                </c:pt>
                <c:pt idx="6">
                  <c:v>21.5</c:v>
                </c:pt>
                <c:pt idx="7">
                  <c:v>22.5</c:v>
                </c:pt>
                <c:pt idx="8">
                  <c:v>23.5</c:v>
                </c:pt>
                <c:pt idx="9">
                  <c:v>24.5</c:v>
                </c:pt>
                <c:pt idx="10">
                  <c:v>25.5</c:v>
                </c:pt>
                <c:pt idx="11">
                  <c:v>26.5</c:v>
                </c:pt>
                <c:pt idx="12">
                  <c:v>27.5</c:v>
                </c:pt>
                <c:pt idx="13">
                  <c:v>28.5</c:v>
                </c:pt>
                <c:pt idx="14">
                  <c:v>29.5</c:v>
                </c:pt>
                <c:pt idx="15">
                  <c:v>30.5</c:v>
                </c:pt>
                <c:pt idx="16">
                  <c:v>31.5</c:v>
                </c:pt>
                <c:pt idx="17">
                  <c:v>32.5</c:v>
                </c:pt>
                <c:pt idx="18">
                  <c:v>33.5</c:v>
                </c:pt>
                <c:pt idx="19">
                  <c:v>34.5</c:v>
                </c:pt>
                <c:pt idx="20">
                  <c:v>35.5</c:v>
                </c:pt>
                <c:pt idx="21">
                  <c:v>36.5</c:v>
                </c:pt>
                <c:pt idx="22">
                  <c:v>37.5</c:v>
                </c:pt>
                <c:pt idx="23">
                  <c:v>38.5</c:v>
                </c:pt>
                <c:pt idx="24">
                  <c:v>39.5</c:v>
                </c:pt>
                <c:pt idx="25">
                  <c:v>40.5</c:v>
                </c:pt>
                <c:pt idx="26">
                  <c:v>41.5</c:v>
                </c:pt>
                <c:pt idx="27">
                  <c:v>42.5</c:v>
                </c:pt>
                <c:pt idx="28">
                  <c:v>43.5</c:v>
                </c:pt>
                <c:pt idx="29">
                  <c:v>44.5</c:v>
                </c:pt>
                <c:pt idx="30">
                  <c:v>45.5</c:v>
                </c:pt>
                <c:pt idx="31">
                  <c:v>46.5</c:v>
                </c:pt>
                <c:pt idx="32">
                  <c:v>47.5</c:v>
                </c:pt>
                <c:pt idx="33">
                  <c:v>48.5</c:v>
                </c:pt>
                <c:pt idx="34">
                  <c:v>49.5</c:v>
                </c:pt>
              </c:numCache>
            </c:numRef>
          </c:xVal>
          <c:yVal>
            <c:numRef>
              <c:f>gamma_P!$C$3:$C$37</c:f>
              <c:numCache>
                <c:formatCode>0.0000</c:formatCode>
                <c:ptCount val="35"/>
                <c:pt idx="0">
                  <c:v>1.3612130955820828E-3</c:v>
                </c:pt>
                <c:pt idx="1">
                  <c:v>2.9526766957771729E-3</c:v>
                </c:pt>
                <c:pt idx="2">
                  <c:v>6.7560996693536183E-3</c:v>
                </c:pt>
                <c:pt idx="3">
                  <c:v>1.3237440744125105E-2</c:v>
                </c:pt>
                <c:pt idx="4">
                  <c:v>2.4081113713098266E-2</c:v>
                </c:pt>
                <c:pt idx="5">
                  <c:v>3.4254313560280553E-2</c:v>
                </c:pt>
                <c:pt idx="6">
                  <c:v>4.5648053356578851E-2</c:v>
                </c:pt>
                <c:pt idx="7">
                  <c:v>5.8466301045269536E-2</c:v>
                </c:pt>
                <c:pt idx="8">
                  <c:v>7.3929400178342944E-2</c:v>
                </c:pt>
                <c:pt idx="9">
                  <c:v>8.950618072390723E-2</c:v>
                </c:pt>
                <c:pt idx="10">
                  <c:v>0.10820406337352576</c:v>
                </c:pt>
                <c:pt idx="11">
                  <c:v>0.1234393881020724</c:v>
                </c:pt>
                <c:pt idx="12">
                  <c:v>0.13814579856459208</c:v>
                </c:pt>
                <c:pt idx="13">
                  <c:v>0.14740084236827947</c:v>
                </c:pt>
                <c:pt idx="14">
                  <c:v>0.15164925485069577</c:v>
                </c:pt>
                <c:pt idx="15">
                  <c:v>0.15016069522944989</c:v>
                </c:pt>
                <c:pt idx="16">
                  <c:v>0.14161067484011428</c:v>
                </c:pt>
                <c:pt idx="17">
                  <c:v>0.1304385112343491</c:v>
                </c:pt>
                <c:pt idx="18">
                  <c:v>0.11578762757606138</c:v>
                </c:pt>
                <c:pt idx="19">
                  <c:v>9.9532267289265647E-2</c:v>
                </c:pt>
                <c:pt idx="20">
                  <c:v>8.6652349180564761E-2</c:v>
                </c:pt>
                <c:pt idx="21">
                  <c:v>7.0516734456165395E-2</c:v>
                </c:pt>
                <c:pt idx="22">
                  <c:v>5.637376752682028E-2</c:v>
                </c:pt>
                <c:pt idx="23">
                  <c:v>4.410406677321968E-2</c:v>
                </c:pt>
                <c:pt idx="24">
                  <c:v>3.4239400183073233E-2</c:v>
                </c:pt>
                <c:pt idx="25">
                  <c:v>2.4684952828256626E-2</c:v>
                </c:pt>
                <c:pt idx="26">
                  <c:v>1.6428809828841713E-2</c:v>
                </c:pt>
                <c:pt idx="27">
                  <c:v>1.0509645342598567E-2</c:v>
                </c:pt>
                <c:pt idx="28">
                  <c:v>6.1990182426953123E-3</c:v>
                </c:pt>
                <c:pt idx="29">
                  <c:v>3.2773673606447278E-3</c:v>
                </c:pt>
                <c:pt idx="30">
                  <c:v>1.711290638996368E-3</c:v>
                </c:pt>
                <c:pt idx="31">
                  <c:v>8.7696336524198772E-4</c:v>
                </c:pt>
                <c:pt idx="32">
                  <c:v>4.1730060643928671E-4</c:v>
                </c:pt>
                <c:pt idx="33">
                  <c:v>2.0124865643652662E-4</c:v>
                </c:pt>
                <c:pt idx="34">
                  <c:v>4.119940627077852E-4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14-4451-AEE7-9CB1FC70B2E0}"/>
            </c:ext>
          </c:extLst>
        </c:ser>
        <c:ser>
          <c:idx val="1"/>
          <c:order val="1"/>
          <c:tx>
            <c:strRef>
              <c:f>gamma_P!$J$2</c:f>
              <c:strCache>
                <c:ptCount val="1"/>
                <c:pt idx="0">
                  <c:v>tfsa (ajustés)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gamma_P!$B$3:$B$37</c:f>
              <c:numCache>
                <c:formatCode>0.0</c:formatCode>
                <c:ptCount val="35"/>
                <c:pt idx="0">
                  <c:v>15.5</c:v>
                </c:pt>
                <c:pt idx="1">
                  <c:v>16.5</c:v>
                </c:pt>
                <c:pt idx="2">
                  <c:v>17.5</c:v>
                </c:pt>
                <c:pt idx="3">
                  <c:v>18.5</c:v>
                </c:pt>
                <c:pt idx="4">
                  <c:v>19.5</c:v>
                </c:pt>
                <c:pt idx="5">
                  <c:v>20.5</c:v>
                </c:pt>
                <c:pt idx="6">
                  <c:v>21.5</c:v>
                </c:pt>
                <c:pt idx="7">
                  <c:v>22.5</c:v>
                </c:pt>
                <c:pt idx="8">
                  <c:v>23.5</c:v>
                </c:pt>
                <c:pt idx="9">
                  <c:v>24.5</c:v>
                </c:pt>
                <c:pt idx="10">
                  <c:v>25.5</c:v>
                </c:pt>
                <c:pt idx="11">
                  <c:v>26.5</c:v>
                </c:pt>
                <c:pt idx="12">
                  <c:v>27.5</c:v>
                </c:pt>
                <c:pt idx="13">
                  <c:v>28.5</c:v>
                </c:pt>
                <c:pt idx="14">
                  <c:v>29.5</c:v>
                </c:pt>
                <c:pt idx="15">
                  <c:v>30.5</c:v>
                </c:pt>
                <c:pt idx="16">
                  <c:v>31.5</c:v>
                </c:pt>
                <c:pt idx="17">
                  <c:v>32.5</c:v>
                </c:pt>
                <c:pt idx="18">
                  <c:v>33.5</c:v>
                </c:pt>
                <c:pt idx="19">
                  <c:v>34.5</c:v>
                </c:pt>
                <c:pt idx="20">
                  <c:v>35.5</c:v>
                </c:pt>
                <c:pt idx="21">
                  <c:v>36.5</c:v>
                </c:pt>
                <c:pt idx="22">
                  <c:v>37.5</c:v>
                </c:pt>
                <c:pt idx="23">
                  <c:v>38.5</c:v>
                </c:pt>
                <c:pt idx="24">
                  <c:v>39.5</c:v>
                </c:pt>
                <c:pt idx="25">
                  <c:v>40.5</c:v>
                </c:pt>
                <c:pt idx="26">
                  <c:v>41.5</c:v>
                </c:pt>
                <c:pt idx="27">
                  <c:v>42.5</c:v>
                </c:pt>
                <c:pt idx="28">
                  <c:v>43.5</c:v>
                </c:pt>
                <c:pt idx="29">
                  <c:v>44.5</c:v>
                </c:pt>
                <c:pt idx="30">
                  <c:v>45.5</c:v>
                </c:pt>
                <c:pt idx="31">
                  <c:v>46.5</c:v>
                </c:pt>
                <c:pt idx="32">
                  <c:v>47.5</c:v>
                </c:pt>
                <c:pt idx="33">
                  <c:v>48.5</c:v>
                </c:pt>
                <c:pt idx="34">
                  <c:v>49.5</c:v>
                </c:pt>
              </c:numCache>
            </c:numRef>
          </c:xVal>
          <c:yVal>
            <c:numRef>
              <c:f>gamma_P!$J$3:$J$37</c:f>
              <c:numCache>
                <c:formatCode>0.00000</c:formatCode>
                <c:ptCount val="35"/>
                <c:pt idx="0">
                  <c:v>1.0573327597457416E-8</c:v>
                </c:pt>
                <c:pt idx="1">
                  <c:v>1.5995684103439402E-5</c:v>
                </c:pt>
                <c:pt idx="2">
                  <c:v>3.6007345874234514E-4</c:v>
                </c:pt>
                <c:pt idx="3">
                  <c:v>2.326603648684564E-3</c:v>
                </c:pt>
                <c:pt idx="4">
                  <c:v>8.1715007678584452E-3</c:v>
                </c:pt>
                <c:pt idx="5">
                  <c:v>1.9972485442889116E-2</c:v>
                </c:pt>
                <c:pt idx="6">
                  <c:v>3.837512818495345E-2</c:v>
                </c:pt>
                <c:pt idx="7">
                  <c:v>6.211521521204643E-2</c:v>
                </c:pt>
                <c:pt idx="8">
                  <c:v>8.8425724826013505E-2</c:v>
                </c:pt>
                <c:pt idx="9">
                  <c:v>0.11392739439907407</c:v>
                </c:pt>
                <c:pt idx="10">
                  <c:v>0.13553053897636816</c:v>
                </c:pt>
                <c:pt idx="11">
                  <c:v>0.15104917351187763</c:v>
                </c:pt>
                <c:pt idx="12">
                  <c:v>0.15944174521814186</c:v>
                </c:pt>
                <c:pt idx="13">
                  <c:v>0.16074018475622243</c:v>
                </c:pt>
                <c:pt idx="14">
                  <c:v>0.15579057187400847</c:v>
                </c:pt>
                <c:pt idx="15">
                  <c:v>0.14592700000698036</c:v>
                </c:pt>
                <c:pt idx="16">
                  <c:v>0.13266691409984546</c:v>
                </c:pt>
                <c:pt idx="17">
                  <c:v>0.11747598288300856</c:v>
                </c:pt>
                <c:pt idx="18">
                  <c:v>0.10161720469239152</c:v>
                </c:pt>
                <c:pt idx="19">
                  <c:v>8.6077219530310528E-2</c:v>
                </c:pt>
                <c:pt idx="20">
                  <c:v>7.1552096299091678E-2</c:v>
                </c:pt>
                <c:pt idx="21">
                  <c:v>5.8472250016634753E-2</c:v>
                </c:pt>
                <c:pt idx="22">
                  <c:v>4.704833533133651E-2</c:v>
                </c:pt>
                <c:pt idx="23">
                  <c:v>3.7324284994297727E-2</c:v>
                </c:pt>
                <c:pt idx="24">
                  <c:v>2.9228330663822494E-2</c:v>
                </c:pt>
                <c:pt idx="25">
                  <c:v>2.2616884108436652E-2</c:v>
                </c:pt>
                <c:pt idx="26">
                  <c:v>1.7309187523694446E-2</c:v>
                </c:pt>
                <c:pt idx="27">
                  <c:v>1.3112644970396672E-2</c:v>
                </c:pt>
                <c:pt idx="28">
                  <c:v>9.8398886940393622E-3</c:v>
                </c:pt>
                <c:pt idx="29">
                  <c:v>7.3191412048943328E-3</c:v>
                </c:pt>
                <c:pt idx="30">
                  <c:v>5.3995246206493177E-3</c:v>
                </c:pt>
                <c:pt idx="31">
                  <c:v>3.9528202262712354E-3</c:v>
                </c:pt>
                <c:pt idx="32">
                  <c:v>2.8729216493649352E-3</c:v>
                </c:pt>
                <c:pt idx="33">
                  <c:v>2.0739377487672414E-3</c:v>
                </c:pt>
                <c:pt idx="34">
                  <c:v>1.4876341099968099E-3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14-4451-AEE7-9CB1FC70B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08528"/>
        <c:axId val="21704368"/>
      </c:scatterChart>
      <c:valAx>
        <c:axId val="21708528"/>
        <c:scaling>
          <c:orientation val="minMax"/>
          <c:max val="50"/>
          <c:min val="15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04368"/>
        <c:crosses val="autoZero"/>
        <c:crossBetween val="midCat"/>
      </c:valAx>
      <c:valAx>
        <c:axId val="21704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08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495778652668414"/>
          <c:y val="0.19986038203557888"/>
          <c:w val="0.21337554680664916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68285214348206E-2"/>
          <c:y val="7.9178331875182334E-2"/>
          <c:w val="0.9029136045494317"/>
          <c:h val="0.80021216097987746"/>
        </c:manualLayout>
      </c:layout>
      <c:lineChart>
        <c:grouping val="standard"/>
        <c:varyColors val="0"/>
        <c:ser>
          <c:idx val="0"/>
          <c:order val="0"/>
          <c:tx>
            <c:strRef>
              <c:f>gamma_P!$C$56</c:f>
              <c:strCache>
                <c:ptCount val="1"/>
                <c:pt idx="0">
                  <c:v>observés</c:v>
                </c:pt>
              </c:strCache>
            </c:strRef>
          </c:tx>
          <c:marker>
            <c:symbol val="diamond"/>
            <c:size val="8"/>
          </c:marker>
          <c:cat>
            <c:strRef>
              <c:f>gamma_P!$A$57:$A$63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gamma_P!$C$57:$C$63</c:f>
              <c:numCache>
                <c:formatCode>0.0000</c:formatCode>
                <c:ptCount val="7"/>
                <c:pt idx="0">
                  <c:v>4.8388543917936247E-2</c:v>
                </c:pt>
                <c:pt idx="1">
                  <c:v>0.30180424886437907</c:v>
                </c:pt>
                <c:pt idx="2">
                  <c:v>0.66883934725916561</c:v>
                </c:pt>
                <c:pt idx="3">
                  <c:v>0.63752977616924023</c:v>
                </c:pt>
                <c:pt idx="4">
                  <c:v>0.29188631811984334</c:v>
                </c:pt>
                <c:pt idx="5">
                  <c:v>6.1099793603036939E-2</c:v>
                </c:pt>
                <c:pt idx="6">
                  <c:v>3.618797329821954E-3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F-444D-8029-08B2DFAC20F6}"/>
            </c:ext>
          </c:extLst>
        </c:ser>
        <c:ser>
          <c:idx val="1"/>
          <c:order val="1"/>
          <c:tx>
            <c:strRef>
              <c:f>gamma_P!$C$74</c:f>
              <c:strCache>
                <c:ptCount val="1"/>
                <c:pt idx="0">
                  <c:v>taux estimés ajustés à l'âge</c:v>
                </c:pt>
              </c:strCache>
            </c:strRef>
          </c:tx>
          <c:spPr>
            <a:ln w="76200" cmpd="sng">
              <a:solidFill>
                <a:schemeClr val="accent2">
                  <a:shade val="95000"/>
                  <a:satMod val="105000"/>
                  <a:alpha val="37000"/>
                </a:schemeClr>
              </a:solidFill>
            </a:ln>
          </c:spPr>
          <c:marker>
            <c:spPr>
              <a:solidFill>
                <a:srgbClr val="C00000">
                  <a:alpha val="46000"/>
                </a:srgbClr>
              </a:solidFill>
              <a:ln w="38100">
                <a:solidFill>
                  <a:schemeClr val="tx1"/>
                </a:solidFill>
              </a:ln>
            </c:spPr>
          </c:marker>
          <c:cat>
            <c:strRef>
              <c:f>gamma_P!$A$57:$A$63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gamma_P!$C$75:$C$81</c:f>
              <c:numCache>
                <c:formatCode>0.0000</c:formatCode>
                <c:ptCount val="7"/>
                <c:pt idx="0">
                  <c:v>3.0666402898474384E-2</c:v>
                </c:pt>
                <c:pt idx="1">
                  <c:v>0.3204502881619134</c:v>
                </c:pt>
                <c:pt idx="2">
                  <c:v>0.67441207253759239</c:v>
                </c:pt>
                <c:pt idx="3">
                  <c:v>0.64201740496733462</c:v>
                </c:pt>
                <c:pt idx="4">
                  <c:v>0.29388705667510823</c:v>
                </c:pt>
                <c:pt idx="5">
                  <c:v>6.2718211632507154E-2</c:v>
                </c:pt>
                <c:pt idx="6">
                  <c:v>1.2674891925560872E-2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F-444D-8029-08B2DFAC2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72997632"/>
        <c:axId val="-1872998720"/>
      </c:lineChart>
      <c:catAx>
        <c:axId val="-187299763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872998720"/>
        <c:crosses val="autoZero"/>
        <c:auto val="1"/>
        <c:lblAlgn val="ctr"/>
        <c:lblOffset val="100"/>
        <c:noMultiLvlLbl val="0"/>
      </c:catAx>
      <c:valAx>
        <c:axId val="-1872998720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87299763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23121352971528533"/>
          <c:y val="0.68183940775519003"/>
          <c:w val="0.45589796081030626"/>
          <c:h val="0.18182727159105114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23059154642724E-2"/>
          <c:y val="8.1032144875731682E-2"/>
          <c:w val="0.88613172899667036"/>
          <c:h val="0.8163626977150751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beta_P!$C$2</c:f>
              <c:strCache>
                <c:ptCount val="1"/>
                <c:pt idx="0">
                  <c:v>observés</c:v>
                </c:pt>
              </c:strCache>
            </c:strRef>
          </c:tx>
          <c:marker>
            <c:symbol val="diamond"/>
            <c:size val="6"/>
          </c:marker>
          <c:xVal>
            <c:numRef>
              <c:f>beta_P!$B$3:$B$37</c:f>
              <c:numCache>
                <c:formatCode>0.0</c:formatCode>
                <c:ptCount val="35"/>
                <c:pt idx="0">
                  <c:v>15.5</c:v>
                </c:pt>
                <c:pt idx="1">
                  <c:v>16.5</c:v>
                </c:pt>
                <c:pt idx="2">
                  <c:v>17.5</c:v>
                </c:pt>
                <c:pt idx="3">
                  <c:v>18.5</c:v>
                </c:pt>
                <c:pt idx="4">
                  <c:v>19.5</c:v>
                </c:pt>
                <c:pt idx="5">
                  <c:v>20.5</c:v>
                </c:pt>
                <c:pt idx="6">
                  <c:v>21.5</c:v>
                </c:pt>
                <c:pt idx="7">
                  <c:v>22.5</c:v>
                </c:pt>
                <c:pt idx="8">
                  <c:v>23.5</c:v>
                </c:pt>
                <c:pt idx="9">
                  <c:v>24.5</c:v>
                </c:pt>
                <c:pt idx="10">
                  <c:v>25.5</c:v>
                </c:pt>
                <c:pt idx="11">
                  <c:v>26.5</c:v>
                </c:pt>
                <c:pt idx="12">
                  <c:v>27.5</c:v>
                </c:pt>
                <c:pt idx="13">
                  <c:v>28.5</c:v>
                </c:pt>
                <c:pt idx="14">
                  <c:v>29.5</c:v>
                </c:pt>
                <c:pt idx="15">
                  <c:v>30.5</c:v>
                </c:pt>
                <c:pt idx="16">
                  <c:v>31.5</c:v>
                </c:pt>
                <c:pt idx="17">
                  <c:v>32.5</c:v>
                </c:pt>
                <c:pt idx="18">
                  <c:v>33.5</c:v>
                </c:pt>
                <c:pt idx="19">
                  <c:v>34.5</c:v>
                </c:pt>
                <c:pt idx="20">
                  <c:v>35.5</c:v>
                </c:pt>
                <c:pt idx="21">
                  <c:v>36.5</c:v>
                </c:pt>
                <c:pt idx="22">
                  <c:v>37.5</c:v>
                </c:pt>
                <c:pt idx="23">
                  <c:v>38.5</c:v>
                </c:pt>
                <c:pt idx="24">
                  <c:v>39.5</c:v>
                </c:pt>
                <c:pt idx="25">
                  <c:v>40.5</c:v>
                </c:pt>
                <c:pt idx="26">
                  <c:v>41.5</c:v>
                </c:pt>
                <c:pt idx="27">
                  <c:v>42.5</c:v>
                </c:pt>
                <c:pt idx="28">
                  <c:v>43.5</c:v>
                </c:pt>
                <c:pt idx="29">
                  <c:v>44.5</c:v>
                </c:pt>
                <c:pt idx="30">
                  <c:v>45.5</c:v>
                </c:pt>
                <c:pt idx="31">
                  <c:v>46.5</c:v>
                </c:pt>
                <c:pt idx="32">
                  <c:v>47.5</c:v>
                </c:pt>
                <c:pt idx="33">
                  <c:v>48.5</c:v>
                </c:pt>
                <c:pt idx="34">
                  <c:v>49.5</c:v>
                </c:pt>
              </c:numCache>
            </c:numRef>
          </c:xVal>
          <c:yVal>
            <c:numRef>
              <c:f>beta_P!$C$3:$C$37</c:f>
              <c:numCache>
                <c:formatCode>0.0000</c:formatCode>
                <c:ptCount val="35"/>
                <c:pt idx="0">
                  <c:v>1.3612130955820828E-3</c:v>
                </c:pt>
                <c:pt idx="1">
                  <c:v>2.9526766957771729E-3</c:v>
                </c:pt>
                <c:pt idx="2">
                  <c:v>6.7560996693536183E-3</c:v>
                </c:pt>
                <c:pt idx="3">
                  <c:v>1.3237440744125105E-2</c:v>
                </c:pt>
                <c:pt idx="4">
                  <c:v>2.4081113713098266E-2</c:v>
                </c:pt>
                <c:pt idx="5">
                  <c:v>3.4254313560280553E-2</c:v>
                </c:pt>
                <c:pt idx="6">
                  <c:v>4.5648053356578851E-2</c:v>
                </c:pt>
                <c:pt idx="7">
                  <c:v>5.8466301045269536E-2</c:v>
                </c:pt>
                <c:pt idx="8">
                  <c:v>7.3929400178342944E-2</c:v>
                </c:pt>
                <c:pt idx="9">
                  <c:v>8.950618072390723E-2</c:v>
                </c:pt>
                <c:pt idx="10">
                  <c:v>0.10820406337352576</c:v>
                </c:pt>
                <c:pt idx="11">
                  <c:v>0.1234393881020724</c:v>
                </c:pt>
                <c:pt idx="12">
                  <c:v>0.13814579856459208</c:v>
                </c:pt>
                <c:pt idx="13">
                  <c:v>0.14740084236827947</c:v>
                </c:pt>
                <c:pt idx="14">
                  <c:v>0.15164925485069577</c:v>
                </c:pt>
                <c:pt idx="15">
                  <c:v>0.15016069522944989</c:v>
                </c:pt>
                <c:pt idx="16">
                  <c:v>0.14161067484011428</c:v>
                </c:pt>
                <c:pt idx="17">
                  <c:v>0.1304385112343491</c:v>
                </c:pt>
                <c:pt idx="18">
                  <c:v>0.11578762757606138</c:v>
                </c:pt>
                <c:pt idx="19">
                  <c:v>9.9532267289265647E-2</c:v>
                </c:pt>
                <c:pt idx="20">
                  <c:v>8.6652349180564761E-2</c:v>
                </c:pt>
                <c:pt idx="21">
                  <c:v>7.0516734456165395E-2</c:v>
                </c:pt>
                <c:pt idx="22">
                  <c:v>5.637376752682028E-2</c:v>
                </c:pt>
                <c:pt idx="23">
                  <c:v>4.410406677321968E-2</c:v>
                </c:pt>
                <c:pt idx="24">
                  <c:v>3.4239400183073233E-2</c:v>
                </c:pt>
                <c:pt idx="25">
                  <c:v>2.4684952828256626E-2</c:v>
                </c:pt>
                <c:pt idx="26">
                  <c:v>1.6428809828841713E-2</c:v>
                </c:pt>
                <c:pt idx="27">
                  <c:v>1.0509645342598567E-2</c:v>
                </c:pt>
                <c:pt idx="28">
                  <c:v>6.1990182426953123E-3</c:v>
                </c:pt>
                <c:pt idx="29">
                  <c:v>3.2773673606447278E-3</c:v>
                </c:pt>
                <c:pt idx="30">
                  <c:v>1.711290638996368E-3</c:v>
                </c:pt>
                <c:pt idx="31">
                  <c:v>8.7696336524198772E-4</c:v>
                </c:pt>
                <c:pt idx="32">
                  <c:v>4.1730060643928671E-4</c:v>
                </c:pt>
                <c:pt idx="33">
                  <c:v>2.0124865643652662E-4</c:v>
                </c:pt>
                <c:pt idx="34">
                  <c:v>4.119940627077852E-4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D1-4848-9D4D-B05159BEDCBA}"/>
            </c:ext>
          </c:extLst>
        </c:ser>
        <c:ser>
          <c:idx val="1"/>
          <c:order val="1"/>
          <c:tx>
            <c:strRef>
              <c:f>beta_P!$G$2</c:f>
              <c:strCache>
                <c:ptCount val="1"/>
                <c:pt idx="0">
                  <c:v>ajustés: bêta</c:v>
                </c:pt>
              </c:strCache>
            </c:strRef>
          </c:tx>
          <c:marker>
            <c:symbol val="square"/>
            <c:size val="5"/>
          </c:marker>
          <c:xVal>
            <c:numRef>
              <c:f>beta_P!$B$3:$B$37</c:f>
              <c:numCache>
                <c:formatCode>0.0</c:formatCode>
                <c:ptCount val="35"/>
                <c:pt idx="0">
                  <c:v>15.5</c:v>
                </c:pt>
                <c:pt idx="1">
                  <c:v>16.5</c:v>
                </c:pt>
                <c:pt idx="2">
                  <c:v>17.5</c:v>
                </c:pt>
                <c:pt idx="3">
                  <c:v>18.5</c:v>
                </c:pt>
                <c:pt idx="4">
                  <c:v>19.5</c:v>
                </c:pt>
                <c:pt idx="5">
                  <c:v>20.5</c:v>
                </c:pt>
                <c:pt idx="6">
                  <c:v>21.5</c:v>
                </c:pt>
                <c:pt idx="7">
                  <c:v>22.5</c:v>
                </c:pt>
                <c:pt idx="8">
                  <c:v>23.5</c:v>
                </c:pt>
                <c:pt idx="9">
                  <c:v>24.5</c:v>
                </c:pt>
                <c:pt idx="10">
                  <c:v>25.5</c:v>
                </c:pt>
                <c:pt idx="11">
                  <c:v>26.5</c:v>
                </c:pt>
                <c:pt idx="12">
                  <c:v>27.5</c:v>
                </c:pt>
                <c:pt idx="13">
                  <c:v>28.5</c:v>
                </c:pt>
                <c:pt idx="14">
                  <c:v>29.5</c:v>
                </c:pt>
                <c:pt idx="15">
                  <c:v>30.5</c:v>
                </c:pt>
                <c:pt idx="16">
                  <c:v>31.5</c:v>
                </c:pt>
                <c:pt idx="17">
                  <c:v>32.5</c:v>
                </c:pt>
                <c:pt idx="18">
                  <c:v>33.5</c:v>
                </c:pt>
                <c:pt idx="19">
                  <c:v>34.5</c:v>
                </c:pt>
                <c:pt idx="20">
                  <c:v>35.5</c:v>
                </c:pt>
                <c:pt idx="21">
                  <c:v>36.5</c:v>
                </c:pt>
                <c:pt idx="22">
                  <c:v>37.5</c:v>
                </c:pt>
                <c:pt idx="23">
                  <c:v>38.5</c:v>
                </c:pt>
                <c:pt idx="24">
                  <c:v>39.5</c:v>
                </c:pt>
                <c:pt idx="25">
                  <c:v>40.5</c:v>
                </c:pt>
                <c:pt idx="26">
                  <c:v>41.5</c:v>
                </c:pt>
                <c:pt idx="27">
                  <c:v>42.5</c:v>
                </c:pt>
                <c:pt idx="28">
                  <c:v>43.5</c:v>
                </c:pt>
                <c:pt idx="29">
                  <c:v>44.5</c:v>
                </c:pt>
                <c:pt idx="30">
                  <c:v>45.5</c:v>
                </c:pt>
                <c:pt idx="31">
                  <c:v>46.5</c:v>
                </c:pt>
                <c:pt idx="32">
                  <c:v>47.5</c:v>
                </c:pt>
                <c:pt idx="33">
                  <c:v>48.5</c:v>
                </c:pt>
                <c:pt idx="34">
                  <c:v>49.5</c:v>
                </c:pt>
              </c:numCache>
            </c:numRef>
          </c:xVal>
          <c:yVal>
            <c:numRef>
              <c:f>beta_P!$G$3:$G$37</c:f>
              <c:numCache>
                <c:formatCode>0.0000</c:formatCode>
                <c:ptCount val="35"/>
                <c:pt idx="0">
                  <c:v>3.0165851848013288E-5</c:v>
                </c:pt>
                <c:pt idx="1">
                  <c:v>9.1117827639357958E-4</c:v>
                </c:pt>
                <c:pt idx="2">
                  <c:v>4.1160407047553674E-3</c:v>
                </c:pt>
                <c:pt idx="3">
                  <c:v>1.0548911826705932E-2</c:v>
                </c:pt>
                <c:pt idx="4">
                  <c:v>2.0446459695174973E-2</c:v>
                </c:pt>
                <c:pt idx="5">
                  <c:v>3.3490893264995714E-2</c:v>
                </c:pt>
                <c:pt idx="6">
                  <c:v>4.8959608002658521E-2</c:v>
                </c:pt>
                <c:pt idx="7">
                  <c:v>6.5875573788168523E-2</c:v>
                </c:pt>
                <c:pt idx="8">
                  <c:v>8.3143890973362319E-2</c:v>
                </c:pt>
                <c:pt idx="9">
                  <c:v>9.9667946400324045E-2</c:v>
                </c:pt>
                <c:pt idx="10">
                  <c:v>0.11444249166943871</c:v>
                </c:pt>
                <c:pt idx="11">
                  <c:v>0.12662314383493783</c:v>
                </c:pt>
                <c:pt idx="12">
                  <c:v>0.13557313606515595</c:v>
                </c:pt>
                <c:pt idx="13">
                  <c:v>0.14088899525718676</c:v>
                </c:pt>
                <c:pt idx="14">
                  <c:v>0.14240737814023008</c:v>
                </c:pt>
                <c:pt idx="15">
                  <c:v>0.14019565573358242</c:v>
                </c:pt>
                <c:pt idx="16">
                  <c:v>0.13452905528150172</c:v>
                </c:pt>
                <c:pt idx="17">
                  <c:v>0.12585728387272138</c:v>
                </c:pt>
                <c:pt idx="18">
                  <c:v>0.11476359103538622</c:v>
                </c:pt>
                <c:pt idx="19">
                  <c:v>0.10191919309410893</c:v>
                </c:pt>
                <c:pt idx="20">
                  <c:v>8.8035889395269087E-2</c:v>
                </c:pt>
                <c:pt idx="21">
                  <c:v>7.3819555619000971E-2</c:v>
                </c:pt>
                <c:pt idx="22">
                  <c:v>5.9927005720109061E-2</c:v>
                </c:pt>
                <c:pt idx="23">
                  <c:v>4.6928472916785917E-2</c:v>
                </c:pt>
                <c:pt idx="24">
                  <c:v>3.5277671017511017E-2</c:v>
                </c:pt>
                <c:pt idx="25">
                  <c:v>2.5291057708579642E-2</c:v>
                </c:pt>
                <c:pt idx="26">
                  <c:v>1.7137526346512815E-2</c:v>
                </c:pt>
                <c:pt idx="27">
                  <c:v>1.0839294348623579E-2</c:v>
                </c:pt>
                <c:pt idx="28">
                  <c:v>6.2842219922168204E-3</c:v>
                </c:pt>
                <c:pt idx="29">
                  <c:v>3.2491657555444222E-3</c:v>
                </c:pt>
                <c:pt idx="30">
                  <c:v>1.4332135395739498E-3</c:v>
                </c:pt>
                <c:pt idx="31">
                  <c:v>4.9871074146328744E-4</c:v>
                </c:pt>
                <c:pt idx="32">
                  <c:v>1.1676435715356239E-4</c:v>
                </c:pt>
                <c:pt idx="33">
                  <c:v>1.219061150427496E-5</c:v>
                </c:pt>
                <c:pt idx="34">
                  <c:v>8.4239522237514436E-8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2D1-4848-9D4D-B05159BED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73001440"/>
        <c:axId val="-1872997088"/>
      </c:scatterChart>
      <c:valAx>
        <c:axId val="-1873001440"/>
        <c:scaling>
          <c:orientation val="minMax"/>
          <c:max val="49.5"/>
          <c:min val="15.5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-1872997088"/>
        <c:crosses val="autoZero"/>
        <c:crossBetween val="midCat"/>
        <c:majorUnit val="5"/>
      </c:valAx>
      <c:valAx>
        <c:axId val="-1872997088"/>
        <c:scaling>
          <c:orientation val="minMax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-1873001440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7166372721928282"/>
          <c:y val="0.14854637478822574"/>
          <c:w val="0.31075837742504475"/>
          <c:h val="0.1299786979408639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100"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68285214348206E-2"/>
          <c:y val="7.9178331875182334E-2"/>
          <c:w val="0.9029136045494317"/>
          <c:h val="0.80021216097987746"/>
        </c:manualLayout>
      </c:layout>
      <c:lineChart>
        <c:grouping val="standard"/>
        <c:varyColors val="0"/>
        <c:ser>
          <c:idx val="0"/>
          <c:order val="0"/>
          <c:tx>
            <c:strRef>
              <c:f>beta_P!$C$57</c:f>
              <c:strCache>
                <c:ptCount val="1"/>
                <c:pt idx="0">
                  <c:v>observés</c:v>
                </c:pt>
              </c:strCache>
            </c:strRef>
          </c:tx>
          <c:marker>
            <c:symbol val="diamond"/>
            <c:size val="8"/>
          </c:marker>
          <c:cat>
            <c:strRef>
              <c:f>beta_P!$A$58:$A$64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beta_P!$C$58:$C$64</c:f>
              <c:numCache>
                <c:formatCode>0.0000</c:formatCode>
                <c:ptCount val="7"/>
                <c:pt idx="0">
                  <c:v>4.8388543917936247E-2</c:v>
                </c:pt>
                <c:pt idx="1">
                  <c:v>0.30180424886437907</c:v>
                </c:pt>
                <c:pt idx="2">
                  <c:v>0.6688393472591655</c:v>
                </c:pt>
                <c:pt idx="3">
                  <c:v>0.63752977616924034</c:v>
                </c:pt>
                <c:pt idx="4">
                  <c:v>0.29188631811984334</c:v>
                </c:pt>
                <c:pt idx="5">
                  <c:v>6.1099793603036939E-2</c:v>
                </c:pt>
                <c:pt idx="6">
                  <c:v>3.618797329821954E-3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C-40AF-9C04-8567AA91A7FA}"/>
            </c:ext>
          </c:extLst>
        </c:ser>
        <c:ser>
          <c:idx val="1"/>
          <c:order val="1"/>
          <c:tx>
            <c:strRef>
              <c:f>beta_P!$G$57</c:f>
              <c:strCache>
                <c:ptCount val="1"/>
                <c:pt idx="0">
                  <c:v>ajustés: bêta</c:v>
                </c:pt>
              </c:strCache>
            </c:strRef>
          </c:tx>
          <c:cat>
            <c:strRef>
              <c:f>beta_P!$A$58:$A$64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beta_P!$G$58:$G$64</c:f>
              <c:numCache>
                <c:formatCode>0.0000</c:formatCode>
                <c:ptCount val="7"/>
                <c:pt idx="0">
                  <c:v>2.8237554642183166E-2</c:v>
                </c:pt>
                <c:pt idx="1">
                  <c:v>0.34379931571614586</c:v>
                </c:pt>
                <c:pt idx="2">
                  <c:v>0.65593043976754317</c:v>
                </c:pt>
                <c:pt idx="3">
                  <c:v>0.60886446587162779</c:v>
                </c:pt>
                <c:pt idx="4">
                  <c:v>0.30848792231701566</c:v>
                </c:pt>
                <c:pt idx="5">
                  <c:v>6.4880273552702261E-2</c:v>
                </c:pt>
                <c:pt idx="6">
                  <c:v>1.0499765203717231E-3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C-40AF-9C04-8567AA91A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72992736"/>
        <c:axId val="-1872991648"/>
      </c:lineChart>
      <c:catAx>
        <c:axId val="-1872992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872991648"/>
        <c:crosses val="autoZero"/>
        <c:auto val="1"/>
        <c:lblAlgn val="ctr"/>
        <c:lblOffset val="100"/>
        <c:noMultiLvlLbl val="0"/>
      </c:catAx>
      <c:valAx>
        <c:axId val="-1872991648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-187299273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67694378827646562"/>
          <c:y val="0.20794947506561717"/>
          <c:w val="0.24636388213030594"/>
          <c:h val="0.15197709504748819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b="1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beta_P!$R$1</c:f>
          <c:strCache>
            <c:ptCount val="1"/>
            <c:pt idx="0">
              <c:v>Fonction loi.beta.n(…;vrai)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beta_P!$B$3:$B$37</c:f>
              <c:numCache>
                <c:formatCode>0.0</c:formatCode>
                <c:ptCount val="35"/>
                <c:pt idx="0">
                  <c:v>15.5</c:v>
                </c:pt>
                <c:pt idx="1">
                  <c:v>16.5</c:v>
                </c:pt>
                <c:pt idx="2">
                  <c:v>17.5</c:v>
                </c:pt>
                <c:pt idx="3">
                  <c:v>18.5</c:v>
                </c:pt>
                <c:pt idx="4">
                  <c:v>19.5</c:v>
                </c:pt>
                <c:pt idx="5">
                  <c:v>20.5</c:v>
                </c:pt>
                <c:pt idx="6">
                  <c:v>21.5</c:v>
                </c:pt>
                <c:pt idx="7">
                  <c:v>22.5</c:v>
                </c:pt>
                <c:pt idx="8">
                  <c:v>23.5</c:v>
                </c:pt>
                <c:pt idx="9">
                  <c:v>24.5</c:v>
                </c:pt>
                <c:pt idx="10">
                  <c:v>25.5</c:v>
                </c:pt>
                <c:pt idx="11">
                  <c:v>26.5</c:v>
                </c:pt>
                <c:pt idx="12">
                  <c:v>27.5</c:v>
                </c:pt>
                <c:pt idx="13">
                  <c:v>28.5</c:v>
                </c:pt>
                <c:pt idx="14">
                  <c:v>29.5</c:v>
                </c:pt>
                <c:pt idx="15">
                  <c:v>30.5</c:v>
                </c:pt>
                <c:pt idx="16">
                  <c:v>31.5</c:v>
                </c:pt>
                <c:pt idx="17">
                  <c:v>32.5</c:v>
                </c:pt>
                <c:pt idx="18">
                  <c:v>33.5</c:v>
                </c:pt>
                <c:pt idx="19">
                  <c:v>34.5</c:v>
                </c:pt>
                <c:pt idx="20">
                  <c:v>35.5</c:v>
                </c:pt>
                <c:pt idx="21">
                  <c:v>36.5</c:v>
                </c:pt>
                <c:pt idx="22">
                  <c:v>37.5</c:v>
                </c:pt>
                <c:pt idx="23">
                  <c:v>38.5</c:v>
                </c:pt>
                <c:pt idx="24">
                  <c:v>39.5</c:v>
                </c:pt>
                <c:pt idx="25">
                  <c:v>40.5</c:v>
                </c:pt>
                <c:pt idx="26">
                  <c:v>41.5</c:v>
                </c:pt>
                <c:pt idx="27">
                  <c:v>42.5</c:v>
                </c:pt>
                <c:pt idx="28">
                  <c:v>43.5</c:v>
                </c:pt>
                <c:pt idx="29">
                  <c:v>44.5</c:v>
                </c:pt>
                <c:pt idx="30">
                  <c:v>45.5</c:v>
                </c:pt>
                <c:pt idx="31">
                  <c:v>46.5</c:v>
                </c:pt>
                <c:pt idx="32">
                  <c:v>47.5</c:v>
                </c:pt>
                <c:pt idx="33">
                  <c:v>48.5</c:v>
                </c:pt>
                <c:pt idx="34">
                  <c:v>49.5</c:v>
                </c:pt>
              </c:numCache>
            </c:numRef>
          </c:xVal>
          <c:yVal>
            <c:numRef>
              <c:f>beta_P!$C$3:$C$37</c:f>
              <c:numCache>
                <c:formatCode>0.0000</c:formatCode>
                <c:ptCount val="35"/>
                <c:pt idx="0">
                  <c:v>1.3612130955820828E-3</c:v>
                </c:pt>
                <c:pt idx="1">
                  <c:v>2.9526766957771729E-3</c:v>
                </c:pt>
                <c:pt idx="2">
                  <c:v>6.7560996693536183E-3</c:v>
                </c:pt>
                <c:pt idx="3">
                  <c:v>1.3237440744125105E-2</c:v>
                </c:pt>
                <c:pt idx="4">
                  <c:v>2.4081113713098266E-2</c:v>
                </c:pt>
                <c:pt idx="5">
                  <c:v>3.4254313560280553E-2</c:v>
                </c:pt>
                <c:pt idx="6">
                  <c:v>4.5648053356578851E-2</c:v>
                </c:pt>
                <c:pt idx="7">
                  <c:v>5.8466301045269536E-2</c:v>
                </c:pt>
                <c:pt idx="8">
                  <c:v>7.3929400178342944E-2</c:v>
                </c:pt>
                <c:pt idx="9">
                  <c:v>8.950618072390723E-2</c:v>
                </c:pt>
                <c:pt idx="10">
                  <c:v>0.10820406337352576</c:v>
                </c:pt>
                <c:pt idx="11">
                  <c:v>0.1234393881020724</c:v>
                </c:pt>
                <c:pt idx="12">
                  <c:v>0.13814579856459208</c:v>
                </c:pt>
                <c:pt idx="13">
                  <c:v>0.14740084236827947</c:v>
                </c:pt>
                <c:pt idx="14">
                  <c:v>0.15164925485069577</c:v>
                </c:pt>
                <c:pt idx="15">
                  <c:v>0.15016069522944989</c:v>
                </c:pt>
                <c:pt idx="16">
                  <c:v>0.14161067484011428</c:v>
                </c:pt>
                <c:pt idx="17">
                  <c:v>0.1304385112343491</c:v>
                </c:pt>
                <c:pt idx="18">
                  <c:v>0.11578762757606138</c:v>
                </c:pt>
                <c:pt idx="19">
                  <c:v>9.9532267289265647E-2</c:v>
                </c:pt>
                <c:pt idx="20">
                  <c:v>8.6652349180564761E-2</c:v>
                </c:pt>
                <c:pt idx="21">
                  <c:v>7.0516734456165395E-2</c:v>
                </c:pt>
                <c:pt idx="22">
                  <c:v>5.637376752682028E-2</c:v>
                </c:pt>
                <c:pt idx="23">
                  <c:v>4.410406677321968E-2</c:v>
                </c:pt>
                <c:pt idx="24">
                  <c:v>3.4239400183073233E-2</c:v>
                </c:pt>
                <c:pt idx="25">
                  <c:v>2.4684952828256626E-2</c:v>
                </c:pt>
                <c:pt idx="26">
                  <c:v>1.6428809828841713E-2</c:v>
                </c:pt>
                <c:pt idx="27">
                  <c:v>1.0509645342598567E-2</c:v>
                </c:pt>
                <c:pt idx="28">
                  <c:v>6.1990182426953123E-3</c:v>
                </c:pt>
                <c:pt idx="29">
                  <c:v>3.2773673606447278E-3</c:v>
                </c:pt>
                <c:pt idx="30">
                  <c:v>1.711290638996368E-3</c:v>
                </c:pt>
                <c:pt idx="31">
                  <c:v>8.7696336524198772E-4</c:v>
                </c:pt>
                <c:pt idx="32">
                  <c:v>4.1730060643928671E-4</c:v>
                </c:pt>
                <c:pt idx="33">
                  <c:v>2.0124865643652662E-4</c:v>
                </c:pt>
                <c:pt idx="34">
                  <c:v>4.119940627077852E-4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4A8-4244-9D6B-C9BC6D6A9C1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beta_P!$B$3:$B$37</c:f>
              <c:numCache>
                <c:formatCode>0.0</c:formatCode>
                <c:ptCount val="35"/>
                <c:pt idx="0">
                  <c:v>15.5</c:v>
                </c:pt>
                <c:pt idx="1">
                  <c:v>16.5</c:v>
                </c:pt>
                <c:pt idx="2">
                  <c:v>17.5</c:v>
                </c:pt>
                <c:pt idx="3">
                  <c:v>18.5</c:v>
                </c:pt>
                <c:pt idx="4">
                  <c:v>19.5</c:v>
                </c:pt>
                <c:pt idx="5">
                  <c:v>20.5</c:v>
                </c:pt>
                <c:pt idx="6">
                  <c:v>21.5</c:v>
                </c:pt>
                <c:pt idx="7">
                  <c:v>22.5</c:v>
                </c:pt>
                <c:pt idx="8">
                  <c:v>23.5</c:v>
                </c:pt>
                <c:pt idx="9">
                  <c:v>24.5</c:v>
                </c:pt>
                <c:pt idx="10">
                  <c:v>25.5</c:v>
                </c:pt>
                <c:pt idx="11">
                  <c:v>26.5</c:v>
                </c:pt>
                <c:pt idx="12">
                  <c:v>27.5</c:v>
                </c:pt>
                <c:pt idx="13">
                  <c:v>28.5</c:v>
                </c:pt>
                <c:pt idx="14">
                  <c:v>29.5</c:v>
                </c:pt>
                <c:pt idx="15">
                  <c:v>30.5</c:v>
                </c:pt>
                <c:pt idx="16">
                  <c:v>31.5</c:v>
                </c:pt>
                <c:pt idx="17">
                  <c:v>32.5</c:v>
                </c:pt>
                <c:pt idx="18">
                  <c:v>33.5</c:v>
                </c:pt>
                <c:pt idx="19">
                  <c:v>34.5</c:v>
                </c:pt>
                <c:pt idx="20">
                  <c:v>35.5</c:v>
                </c:pt>
                <c:pt idx="21">
                  <c:v>36.5</c:v>
                </c:pt>
                <c:pt idx="22">
                  <c:v>37.5</c:v>
                </c:pt>
                <c:pt idx="23">
                  <c:v>38.5</c:v>
                </c:pt>
                <c:pt idx="24">
                  <c:v>39.5</c:v>
                </c:pt>
                <c:pt idx="25">
                  <c:v>40.5</c:v>
                </c:pt>
                <c:pt idx="26">
                  <c:v>41.5</c:v>
                </c:pt>
                <c:pt idx="27">
                  <c:v>42.5</c:v>
                </c:pt>
                <c:pt idx="28">
                  <c:v>43.5</c:v>
                </c:pt>
                <c:pt idx="29">
                  <c:v>44.5</c:v>
                </c:pt>
                <c:pt idx="30">
                  <c:v>45.5</c:v>
                </c:pt>
                <c:pt idx="31">
                  <c:v>46.5</c:v>
                </c:pt>
                <c:pt idx="32">
                  <c:v>47.5</c:v>
                </c:pt>
                <c:pt idx="33">
                  <c:v>48.5</c:v>
                </c:pt>
                <c:pt idx="34">
                  <c:v>49.5</c:v>
                </c:pt>
              </c:numCache>
            </c:numRef>
          </c:xVal>
          <c:yVal>
            <c:numRef>
              <c:f>beta_P!$U$4:$U$36</c:f>
              <c:numCache>
                <c:formatCode>0.000000</c:formatCode>
                <c:ptCount val="33"/>
                <c:pt idx="0">
                  <c:v>3.6152867940890139E-6</c:v>
                </c:pt>
                <c:pt idx="1">
                  <c:v>3.329427597686257E-4</c:v>
                </c:pt>
                <c:pt idx="2">
                  <c:v>2.2714935563281496E-3</c:v>
                </c:pt>
                <c:pt idx="3">
                  <c:v>7.0438064698347567E-3</c:v>
                </c:pt>
                <c:pt idx="4">
                  <c:v>1.5214261869399091E-2</c:v>
                </c:pt>
                <c:pt idx="5">
                  <c:v>2.6730521633041085E-2</c:v>
                </c:pt>
                <c:pt idx="6">
                  <c:v>4.1059590716430054E-2</c:v>
                </c:pt>
                <c:pt idx="7">
                  <c:v>5.7339586368050324E-2</c:v>
                </c:pt>
                <c:pt idx="8">
                  <c:v>7.4523990668691101E-2</c:v>
                </c:pt>
                <c:pt idx="9">
                  <c:v>9.1508350344442976E-2</c:v>
                </c:pt>
                <c:pt idx="10">
                  <c:v>0.10723500508504975</c:v>
                </c:pt>
                <c:pt idx="11">
                  <c:v>0.12077435099657183</c:v>
                </c:pt>
                <c:pt idx="12">
                  <c:v>0.1313828541843427</c:v>
                </c:pt>
                <c:pt idx="13">
                  <c:v>0.13853909708967149</c:v>
                </c:pt>
                <c:pt idx="14">
                  <c:v>0.14195983137735815</c:v>
                </c:pt>
                <c:pt idx="15">
                  <c:v>0.14159846150896199</c:v>
                </c:pt>
                <c:pt idx="16">
                  <c:v>0.13762866828071738</c:v>
                </c:pt>
                <c:pt idx="17">
                  <c:v>0.13041604649206515</c:v>
                </c:pt>
                <c:pt idx="18">
                  <c:v>0.12048070352248261</c:v>
                </c:pt>
                <c:pt idx="19">
                  <c:v>0.1084537639217677</c:v>
                </c:pt>
                <c:pt idx="20">
                  <c:v>9.5030660905934553E-2</c:v>
                </c:pt>
                <c:pt idx="21">
                  <c:v>8.0923976489917934E-2</c:v>
                </c:pt>
                <c:pt idx="22">
                  <c:v>6.6818422519247134E-2</c:v>
                </c:pt>
                <c:pt idx="23">
                  <c:v>5.3330337439394443E-2</c:v>
                </c:pt>
                <c:pt idx="24">
                  <c:v>4.0973808651360799E-2</c:v>
                </c:pt>
                <c:pt idx="25">
                  <c:v>3.013521621632578E-2</c:v>
                </c:pt>
                <c:pt idx="26">
                  <c:v>2.1057626832392685E-2</c:v>
                </c:pt>
                <c:pt idx="27">
                  <c:v>1.3836041080746132E-2</c:v>
                </c:pt>
                <c:pt idx="28">
                  <c:v>8.4240018717889956E-3</c:v>
                </c:pt>
                <c:pt idx="29">
                  <c:v>4.6514920955672313E-3</c:v>
                </c:pt>
                <c:pt idx="30">
                  <c:v>2.253359634726029E-3</c:v>
                </c:pt>
                <c:pt idx="31">
                  <c:v>9.0666630712689063E-4</c:v>
                </c:pt>
                <c:pt idx="32">
                  <c:v>2.7428891964882267E-4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4A8-4244-9D6B-C9BC6D6A9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216400"/>
        <c:axId val="653221392"/>
      </c:scatterChart>
      <c:valAx>
        <c:axId val="653216400"/>
        <c:scaling>
          <c:orientation val="minMax"/>
          <c:max val="50"/>
          <c:min val="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3221392"/>
        <c:crosses val="autoZero"/>
        <c:crossBetween val="midCat"/>
      </c:valAx>
      <c:valAx>
        <c:axId val="65322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3216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</xdr:row>
      <xdr:rowOff>0</xdr:rowOff>
    </xdr:from>
    <xdr:to>
      <xdr:col>11</xdr:col>
      <xdr:colOff>704850</xdr:colOff>
      <xdr:row>18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28575</xdr:colOff>
      <xdr:row>1</xdr:row>
      <xdr:rowOff>9525</xdr:rowOff>
    </xdr:from>
    <xdr:to>
      <xdr:col>18</xdr:col>
      <xdr:colOff>457200</xdr:colOff>
      <xdr:row>18</xdr:row>
      <xdr:rowOff>66675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695325</xdr:colOff>
      <xdr:row>1</xdr:row>
      <xdr:rowOff>31750</xdr:rowOff>
    </xdr:from>
    <xdr:to>
      <xdr:col>19</xdr:col>
      <xdr:colOff>574675</xdr:colOff>
      <xdr:row>22</xdr:row>
      <xdr:rowOff>122238</xdr:rowOff>
    </xdr:to>
    <xdr:graphicFrame macro="">
      <xdr:nvGraphicFramePr>
        <xdr:cNvPr id="9" name="Chart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43815</xdr:colOff>
      <xdr:row>50</xdr:row>
      <xdr:rowOff>48577</xdr:rowOff>
    </xdr:from>
    <xdr:to>
      <xdr:col>14</xdr:col>
      <xdr:colOff>779145</xdr:colOff>
      <xdr:row>67</xdr:row>
      <xdr:rowOff>27622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755650</xdr:colOff>
      <xdr:row>30</xdr:row>
      <xdr:rowOff>31750</xdr:rowOff>
    </xdr:from>
    <xdr:to>
      <xdr:col>17</xdr:col>
      <xdr:colOff>518283</xdr:colOff>
      <xdr:row>33</xdr:row>
      <xdr:rowOff>94663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080750" y="4838700"/>
          <a:ext cx="2988433" cy="539163"/>
        </a:xfrm>
        <a:prstGeom prst="rect">
          <a:avLst/>
        </a:prstGeom>
      </xdr:spPr>
    </xdr:pic>
    <xdr:clientData/>
  </xdr:twoCellAnchor>
  <xdr:twoCellAnchor editAs="oneCell">
    <xdr:from>
      <xdr:col>14</xdr:col>
      <xdr:colOff>3175</xdr:colOff>
      <xdr:row>33</xdr:row>
      <xdr:rowOff>63500</xdr:rowOff>
    </xdr:from>
    <xdr:to>
      <xdr:col>17</xdr:col>
      <xdr:colOff>716920</xdr:colOff>
      <xdr:row>36</xdr:row>
      <xdr:rowOff>126413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1134725" y="5346700"/>
          <a:ext cx="3133095" cy="53916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412750</xdr:colOff>
          <xdr:row>23</xdr:row>
          <xdr:rowOff>114300</xdr:rowOff>
        </xdr:from>
        <xdr:to>
          <xdr:col>19</xdr:col>
          <xdr:colOff>539750</xdr:colOff>
          <xdr:row>29</xdr:row>
          <xdr:rowOff>6350</xdr:rowOff>
        </xdr:to>
        <xdr:sp macro="" textlink="">
          <xdr:nvSpPr>
            <xdr:cNvPr id="2051" name="Object 16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ADA"/>
            </a:solidFill>
            <a:ln w="28575">
              <a:solidFill>
                <a:srgbClr val="C0504D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50800</xdr:colOff>
          <xdr:row>69</xdr:row>
          <xdr:rowOff>31750</xdr:rowOff>
        </xdr:from>
        <xdr:to>
          <xdr:col>14</xdr:col>
          <xdr:colOff>171450</xdr:colOff>
          <xdr:row>74</xdr:row>
          <xdr:rowOff>31750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DEADA"/>
            </a:solidFill>
            <a:ln w="28575">
              <a:solidFill>
                <a:srgbClr val="C0504D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14</xdr:col>
      <xdr:colOff>768350</xdr:colOff>
      <xdr:row>37</xdr:row>
      <xdr:rowOff>79375</xdr:rowOff>
    </xdr:from>
    <xdr:to>
      <xdr:col>20</xdr:col>
      <xdr:colOff>501650</xdr:colOff>
      <xdr:row>54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78</xdr:row>
      <xdr:rowOff>0</xdr:rowOff>
    </xdr:from>
    <xdr:to>
      <xdr:col>13</xdr:col>
      <xdr:colOff>735330</xdr:colOff>
      <xdr:row>95</xdr:row>
      <xdr:rowOff>61595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245A0E2-3814-44A2-B62B-FA640147B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0.14519</cdr:x>
      <cdr:y>0.10368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71678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anose="020B0604020202020204" pitchFamily="34" charset="0"/>
              <a:cs typeface="Arial" panose="020B0604020202020204" pitchFamily="34" charset="0"/>
            </a:rPr>
            <a:t>f</a:t>
          </a:r>
          <a:r>
            <a:rPr lang="cs-CZ" sz="1100" b="1" baseline="-250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  <a:p xmlns:a="http://schemas.openxmlformats.org/drawingml/2006/main">
          <a:endParaRPr lang="cs-CZ" sz="11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0.88883</cdr:x>
      <cdr:y>0.90862</cdr:y>
    </cdr:from>
    <cdr:to>
      <cdr:x>0.98321</cdr:x>
      <cdr:y>0.98333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724099" y="3206535"/>
          <a:ext cx="501625" cy="2636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âge</a:t>
          </a:r>
          <a:endParaRPr lang="cs-CZ" sz="11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0.32616</cdr:x>
      <cdr:y>0.01637</cdr:y>
    </cdr:from>
    <cdr:to>
      <cdr:x>0.69176</cdr:x>
      <cdr:y>0.08186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733550" y="57150"/>
          <a:ext cx="19431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/>
            <a:t>Taux de fécondité par âge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0.02917</cdr:x>
      <cdr:y>0</cdr:y>
    </cdr:from>
    <cdr:to>
      <cdr:x>0.12292</cdr:x>
      <cdr:y>0.0816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33350" y="0"/>
          <a:ext cx="428625" cy="223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>
              <a:latin typeface="Arial" pitchFamily="34" charset="0"/>
              <a:cs typeface="Arial" pitchFamily="34" charset="0"/>
            </a:rPr>
            <a:t>fx</a:t>
          </a:r>
        </a:p>
      </cdr:txBody>
    </cdr:sp>
  </cdr:relSizeAnchor>
  <cdr:relSizeAnchor xmlns:cdr="http://schemas.openxmlformats.org/drawingml/2006/chartDrawing">
    <cdr:from>
      <cdr:x>0.79585</cdr:x>
      <cdr:y>0.91525</cdr:y>
    </cdr:from>
    <cdr:to>
      <cdr:x>0.89793</cdr:x>
      <cdr:y>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655286" y="2561273"/>
          <a:ext cx="468849" cy="23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b="1">
              <a:latin typeface="Arial" pitchFamily="34" charset="0"/>
              <a:cs typeface="Arial" pitchFamily="34" charset="0"/>
            </a:rPr>
            <a:t>âge</a:t>
          </a:r>
        </a:p>
      </cdr:txBody>
    </cdr:sp>
  </cdr:relSizeAnchor>
  <cdr:relSizeAnchor xmlns:cdr="http://schemas.openxmlformats.org/drawingml/2006/chartDrawing">
    <cdr:from>
      <cdr:x>0.26926</cdr:x>
      <cdr:y>0.00802</cdr:y>
    </cdr:from>
    <cdr:to>
      <cdr:x>0.69521</cdr:x>
      <cdr:y>0.09111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264920" y="22860"/>
          <a:ext cx="2001004" cy="236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 b="1"/>
            <a:t>Taux de fécondité par âge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0.02917</cdr:x>
      <cdr:y>0</cdr:y>
    </cdr:from>
    <cdr:to>
      <cdr:x>0.12292</cdr:x>
      <cdr:y>0.0816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33350" y="0"/>
          <a:ext cx="428625" cy="223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>
              <a:latin typeface="Arial" pitchFamily="34" charset="0"/>
              <a:cs typeface="Arial" pitchFamily="34" charset="0"/>
            </a:rPr>
            <a:t>fx</a:t>
          </a:r>
        </a:p>
      </cdr:txBody>
    </cdr:sp>
  </cdr:relSizeAnchor>
  <cdr:relSizeAnchor xmlns:cdr="http://schemas.openxmlformats.org/drawingml/2006/chartDrawing">
    <cdr:from>
      <cdr:x>0.79585</cdr:x>
      <cdr:y>0.91525</cdr:y>
    </cdr:from>
    <cdr:to>
      <cdr:x>0.89793</cdr:x>
      <cdr:y>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655286" y="2561273"/>
          <a:ext cx="468849" cy="23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b="1">
              <a:latin typeface="Arial" pitchFamily="34" charset="0"/>
              <a:cs typeface="Arial" pitchFamily="34" charset="0"/>
            </a:rPr>
            <a:t>âge</a:t>
          </a:r>
        </a:p>
      </cdr:txBody>
    </cdr:sp>
  </cdr:relSizeAnchor>
  <cdr:relSizeAnchor xmlns:cdr="http://schemas.openxmlformats.org/drawingml/2006/chartDrawing">
    <cdr:from>
      <cdr:x>0.26926</cdr:x>
      <cdr:y>0.00802</cdr:y>
    </cdr:from>
    <cdr:to>
      <cdr:x>0.69521</cdr:x>
      <cdr:y>0.09111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264920" y="22860"/>
          <a:ext cx="2001004" cy="236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 b="1"/>
            <a:t>Taux de fécondité par âge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295910</xdr:colOff>
      <xdr:row>1</xdr:row>
      <xdr:rowOff>111760</xdr:rowOff>
    </xdr:from>
    <xdr:to>
      <xdr:col>15</xdr:col>
      <xdr:colOff>187325</xdr:colOff>
      <xdr:row>26</xdr:row>
      <xdr:rowOff>145733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568960</xdr:colOff>
      <xdr:row>34</xdr:row>
      <xdr:rowOff>55880</xdr:rowOff>
    </xdr:from>
    <xdr:to>
      <xdr:col>16</xdr:col>
      <xdr:colOff>241300</xdr:colOff>
      <xdr:row>41</xdr:row>
      <xdr:rowOff>69850</xdr:rowOff>
    </xdr:to>
    <xdr:sp macro="" textlink="">
      <xdr:nvSpPr>
        <xdr:cNvPr id="8" name="TextBox 1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855460" y="5466080"/>
          <a:ext cx="6079490" cy="117602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50000"/>
            </a:lnSpc>
          </a:pPr>
          <a:r>
            <a:rPr lang="cs-CZ" sz="1800" b="1">
              <a:solidFill>
                <a:srgbClr val="C00000"/>
              </a:solidFill>
            </a:rPr>
            <a:t>a= {[(1-m(X)]*m(X)^2}/s</a:t>
          </a:r>
          <a:r>
            <a:rPr lang="cs-CZ" sz="1800" b="1" baseline="30000">
              <a:solidFill>
                <a:srgbClr val="C00000"/>
              </a:solidFill>
            </a:rPr>
            <a:t>2</a:t>
          </a:r>
          <a:r>
            <a:rPr lang="cs-CZ" sz="1800" b="1">
              <a:solidFill>
                <a:srgbClr val="C00000"/>
              </a:solidFill>
            </a:rPr>
            <a:t>(X) – m(X); 	m(X) = [m(x)-15]/35</a:t>
          </a:r>
        </a:p>
        <a:p>
          <a:pPr>
            <a:lnSpc>
              <a:spcPct val="150000"/>
            </a:lnSpc>
          </a:pPr>
          <a:r>
            <a:rPr lang="cs-CZ" sz="1800" b="1">
              <a:solidFill>
                <a:srgbClr val="C00000"/>
              </a:solidFill>
              <a:sym typeface="Symbol"/>
            </a:rPr>
            <a:t>b=</a:t>
          </a:r>
          <a:r>
            <a:rPr lang="cs-CZ" sz="1800" b="1">
              <a:solidFill>
                <a:srgbClr val="C00000"/>
              </a:solidFill>
            </a:rPr>
            <a:t>{[(1-m(X)]^2*m(X)}/s</a:t>
          </a:r>
          <a:r>
            <a:rPr lang="cs-CZ" sz="1800" b="1" baseline="30000">
              <a:solidFill>
                <a:srgbClr val="C00000"/>
              </a:solidFill>
            </a:rPr>
            <a:t>2</a:t>
          </a:r>
          <a:r>
            <a:rPr lang="cs-CZ" sz="1800" b="1">
              <a:solidFill>
                <a:srgbClr val="C00000"/>
              </a:solidFill>
            </a:rPr>
            <a:t>(X) – [1-m(X)]	 s</a:t>
          </a:r>
          <a:r>
            <a:rPr lang="cs-CZ" sz="1800" b="1" baseline="30000">
              <a:solidFill>
                <a:srgbClr val="C00000"/>
              </a:solidFill>
            </a:rPr>
            <a:t>2</a:t>
          </a:r>
          <a:r>
            <a:rPr lang="cs-CZ" sz="1800" b="1">
              <a:solidFill>
                <a:srgbClr val="C00000"/>
              </a:solidFill>
            </a:rPr>
            <a:t>(X)=</a:t>
          </a:r>
          <a:r>
            <a:rPr lang="cs-CZ" sz="1800" b="1">
              <a:solidFill>
                <a:srgbClr val="C00000"/>
              </a:solidFill>
              <a:sym typeface="Symbol"/>
            </a:rPr>
            <a:t></a:t>
          </a:r>
          <a:r>
            <a:rPr lang="cs-CZ" sz="1800" b="1" baseline="30000">
              <a:solidFill>
                <a:srgbClr val="C00000"/>
              </a:solidFill>
              <a:sym typeface="Symbol"/>
            </a:rPr>
            <a:t>2</a:t>
          </a:r>
          <a:r>
            <a:rPr lang="cs-CZ" sz="1800" b="1">
              <a:solidFill>
                <a:srgbClr val="C00000"/>
              </a:solidFill>
              <a:sym typeface="Symbol"/>
            </a:rPr>
            <a:t>(x)/35^2</a:t>
          </a:r>
        </a:p>
        <a:p>
          <a:pPr>
            <a:lnSpc>
              <a:spcPct val="150000"/>
            </a:lnSpc>
          </a:pPr>
          <a:r>
            <a:rPr lang="cs-CZ" sz="1800" b="1">
              <a:solidFill>
                <a:srgbClr val="C00000"/>
              </a:solidFill>
            </a:rPr>
            <a:t>         </a:t>
          </a:r>
        </a:p>
      </xdr:txBody>
    </xdr:sp>
    <xdr:clientData/>
  </xdr:twoCellAnchor>
  <xdr:twoCellAnchor>
    <xdr:from>
      <xdr:col>8</xdr:col>
      <xdr:colOff>213360</xdr:colOff>
      <xdr:row>54</xdr:row>
      <xdr:rowOff>114300</xdr:rowOff>
    </xdr:from>
    <xdr:to>
      <xdr:col>14</xdr:col>
      <xdr:colOff>194310</xdr:colOff>
      <xdr:row>71</xdr:row>
      <xdr:rowOff>85725</xdr:rowOff>
    </xdr:to>
    <xdr:graphicFrame macro="">
      <xdr:nvGraphicFramePr>
        <xdr:cNvPr id="5" name="Graphique 1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28</xdr:row>
          <xdr:rowOff>38100</xdr:rowOff>
        </xdr:from>
        <xdr:to>
          <xdr:col>15</xdr:col>
          <xdr:colOff>546100</xdr:colOff>
          <xdr:row>33</xdr:row>
          <xdr:rowOff>88900</xdr:rowOff>
        </xdr:to>
        <xdr:sp macro="" textlink="">
          <xdr:nvSpPr>
            <xdr:cNvPr id="3075" name="Object 7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CD5B5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698500</xdr:colOff>
          <xdr:row>74</xdr:row>
          <xdr:rowOff>19050</xdr:rowOff>
        </xdr:from>
        <xdr:to>
          <xdr:col>16</xdr:col>
          <xdr:colOff>476250</xdr:colOff>
          <xdr:row>79</xdr:row>
          <xdr:rowOff>107950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CD5B5"/>
            </a:solidFill>
          </xdr:spPr>
        </xdr:sp>
        <xdr:clientData/>
      </xdr:twoCellAnchor>
    </mc:Choice>
    <mc:Fallback/>
  </mc:AlternateContent>
  <xdr:twoCellAnchor>
    <xdr:from>
      <xdr:col>23</xdr:col>
      <xdr:colOff>82550</xdr:colOff>
      <xdr:row>3</xdr:row>
      <xdr:rowOff>69850</xdr:rowOff>
    </xdr:from>
    <xdr:to>
      <xdr:col>28</xdr:col>
      <xdr:colOff>412750</xdr:colOff>
      <xdr:row>20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0.14519</cdr:x>
      <cdr:y>0.05588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620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anose="020B0604020202020204" pitchFamily="34" charset="0"/>
              <a:cs typeface="Arial" panose="020B0604020202020204" pitchFamily="34" charset="0"/>
            </a:rPr>
            <a:t>f</a:t>
          </a:r>
          <a:r>
            <a:rPr lang="cs-CZ" sz="1100" b="1" baseline="-250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  <a:p xmlns:a="http://schemas.openxmlformats.org/drawingml/2006/main">
          <a:endParaRPr lang="cs-CZ" sz="11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0.88574</cdr:x>
      <cdr:y>0.92316</cdr:y>
    </cdr:from>
    <cdr:to>
      <cdr:x>0.98012</cdr:x>
      <cdr:y>0.98137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636801" y="3771348"/>
          <a:ext cx="494074" cy="237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âge</a:t>
          </a:r>
          <a:endParaRPr lang="cs-CZ" sz="11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0.32026</cdr:x>
      <cdr:y>0.01243</cdr:y>
    </cdr:from>
    <cdr:to>
      <cdr:x>0.69077</cdr:x>
      <cdr:y>0.0684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679575" y="50800"/>
          <a:ext cx="1943146" cy="228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latin typeface="Arial" pitchFamily="34" charset="0"/>
              <a:cs typeface="Arial" pitchFamily="34" charset="0"/>
            </a:rPr>
            <a:t>Taux de fécondité par âge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0.02917</cdr:x>
      <cdr:y>0</cdr:y>
    </cdr:from>
    <cdr:to>
      <cdr:x>0.12292</cdr:x>
      <cdr:y>0.0816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33350" y="0"/>
          <a:ext cx="428625" cy="223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>
              <a:latin typeface="Arial" pitchFamily="34" charset="0"/>
              <a:cs typeface="Arial" pitchFamily="34" charset="0"/>
            </a:rPr>
            <a:t>fx</a:t>
          </a:r>
        </a:p>
      </cdr:txBody>
    </cdr:sp>
  </cdr:relSizeAnchor>
  <cdr:relSizeAnchor xmlns:cdr="http://schemas.openxmlformats.org/drawingml/2006/chartDrawing">
    <cdr:from>
      <cdr:x>0.79792</cdr:x>
      <cdr:y>0.89757</cdr:y>
    </cdr:from>
    <cdr:to>
      <cdr:x>0.9</cdr:x>
      <cdr:y>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648075" y="2462213"/>
          <a:ext cx="466725" cy="280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b="1">
              <a:latin typeface="Arial" pitchFamily="34" charset="0"/>
              <a:cs typeface="Arial" pitchFamily="34" charset="0"/>
            </a:rPr>
            <a:t>âge</a:t>
          </a:r>
        </a:p>
      </cdr:txBody>
    </cdr:sp>
  </cdr:relSizeAnchor>
  <cdr:relSizeAnchor xmlns:cdr="http://schemas.openxmlformats.org/drawingml/2006/chartDrawing">
    <cdr:from>
      <cdr:x>0.26115</cdr:x>
      <cdr:y>0</cdr:y>
    </cdr:from>
    <cdr:to>
      <cdr:x>0.6871</cdr:x>
      <cdr:y>0.08309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226820" y="0"/>
          <a:ext cx="2001004" cy="236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fr-FR" sz="1100" b="1">
              <a:latin typeface="Arial" pitchFamily="34" charset="0"/>
              <a:cs typeface="Arial" pitchFamily="34" charset="0"/>
            </a:rPr>
            <a:t>Taux de fécondité par âge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2.bin"/><Relationship Id="rId2" Type="http://schemas.openxmlformats.org/officeDocument/2006/relationships/hyperlink" Target="http://www.miniwebtool.com/gamma-function-calculator/?number=6.7851" TargetMode="External"/><Relationship Id="rId1" Type="http://schemas.openxmlformats.org/officeDocument/2006/relationships/hyperlink" Target="http://www.danielsoper.com/statcalc3/calc.aspx?id=30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4.emf"/><Relationship Id="rId2" Type="http://schemas.openxmlformats.org/officeDocument/2006/relationships/hyperlink" Target="http://www.miniwebtool.com/gamma-function-calculator/?number=6.7851" TargetMode="External"/><Relationship Id="rId1" Type="http://schemas.openxmlformats.org/officeDocument/2006/relationships/hyperlink" Target="http://www.danielsoper.com/statcalc3/calc.aspx?id=30" TargetMode="External"/><Relationship Id="rId6" Type="http://schemas.openxmlformats.org/officeDocument/2006/relationships/oleObject" Target="../embeddings/oleObject3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CFEE-B3A4-4E72-829F-933002A68CBD}">
  <dimension ref="A1:E51"/>
  <sheetViews>
    <sheetView tabSelected="1" workbookViewId="0">
      <selection activeCell="E3" sqref="E3"/>
    </sheetView>
  </sheetViews>
  <sheetFormatPr baseColWidth="10" defaultColWidth="11.54296875" defaultRowHeight="14.5" x14ac:dyDescent="0.35"/>
  <cols>
    <col min="1" max="1" width="7.1796875" customWidth="1"/>
  </cols>
  <sheetData>
    <row r="1" spans="1:5" ht="15" customHeight="1" x14ac:dyDescent="0.35">
      <c r="C1" s="43"/>
    </row>
    <row r="2" spans="1:5" ht="29" x14ac:dyDescent="0.35">
      <c r="A2" s="43" t="s">
        <v>0</v>
      </c>
      <c r="B2" s="43" t="s">
        <v>3</v>
      </c>
      <c r="C2" s="43" t="s">
        <v>47</v>
      </c>
      <c r="D2" s="43" t="s">
        <v>3</v>
      </c>
      <c r="E2" s="43" t="s">
        <v>47</v>
      </c>
    </row>
    <row r="3" spans="1:5" x14ac:dyDescent="0.35">
      <c r="A3" s="1">
        <v>0</v>
      </c>
      <c r="B3" s="2">
        <f t="shared" ref="B3:B18" si="0">GAMMADIST(A3,$B$22,$D$22,FALSE)</f>
        <v>0</v>
      </c>
      <c r="C3" s="2">
        <f t="shared" ref="C3:C18" si="1">GAMMADIST(A3,$B$22,$D$22,TRUE)</f>
        <v>0</v>
      </c>
      <c r="D3" s="2">
        <f t="shared" ref="D3:D18" si="2">GAMMADIST(A3,$B$23,$D$23,FALSE)</f>
        <v>0</v>
      </c>
      <c r="E3" s="2">
        <f t="shared" ref="E3:E18" si="3">GAMMADIST(A3,$B$23,$D$23,TRUE)</f>
        <v>0</v>
      </c>
    </row>
    <row r="4" spans="1:5" x14ac:dyDescent="0.35">
      <c r="A4" s="1">
        <v>1</v>
      </c>
      <c r="B4" s="2">
        <f t="shared" si="0"/>
        <v>1.53283100488101E-2</v>
      </c>
      <c r="C4" s="2">
        <f t="shared" si="1"/>
        <v>3.6598468273437122E-3</v>
      </c>
      <c r="D4" s="2">
        <f t="shared" si="2"/>
        <v>6.1313240195240377E-2</v>
      </c>
      <c r="E4" s="2">
        <f t="shared" si="3"/>
        <v>1.8988156876153805E-2</v>
      </c>
    </row>
    <row r="5" spans="1:5" x14ac:dyDescent="0.35">
      <c r="A5" s="1">
        <v>2</v>
      </c>
      <c r="B5" s="2">
        <f t="shared" si="0"/>
        <v>9.0223522157741792E-2</v>
      </c>
      <c r="C5" s="2">
        <f t="shared" si="1"/>
        <v>5.2653017343711139E-2</v>
      </c>
      <c r="D5" s="2">
        <f t="shared" si="2"/>
        <v>0.18044704431548364</v>
      </c>
      <c r="E5" s="2">
        <f t="shared" si="3"/>
        <v>0.14287653950145301</v>
      </c>
    </row>
    <row r="6" spans="1:5" x14ac:dyDescent="0.35">
      <c r="A6" s="1">
        <v>3</v>
      </c>
      <c r="B6" s="2">
        <f t="shared" si="0"/>
        <v>0.16803135574154082</v>
      </c>
      <c r="C6" s="2">
        <f t="shared" si="1"/>
        <v>0.18473675547622792</v>
      </c>
      <c r="D6" s="2">
        <f t="shared" si="2"/>
        <v>0.22404180765538778</v>
      </c>
      <c r="E6" s="2">
        <f t="shared" si="3"/>
        <v>0.35276811121776874</v>
      </c>
    </row>
    <row r="7" spans="1:5" x14ac:dyDescent="0.35">
      <c r="A7" s="1">
        <v>4</v>
      </c>
      <c r="B7" s="2">
        <f t="shared" si="0"/>
        <v>0.19536681481316462</v>
      </c>
      <c r="C7" s="2">
        <f t="shared" si="1"/>
        <v>0.37116306482012656</v>
      </c>
      <c r="D7" s="2">
        <f t="shared" si="2"/>
        <v>0.19536681481316462</v>
      </c>
      <c r="E7" s="2">
        <f t="shared" si="3"/>
        <v>0.56652987963329104</v>
      </c>
    </row>
    <row r="8" spans="1:5" x14ac:dyDescent="0.35">
      <c r="A8" s="1">
        <v>5</v>
      </c>
      <c r="B8" s="2">
        <f t="shared" si="0"/>
        <v>0.17546736976785071</v>
      </c>
      <c r="C8" s="2">
        <f t="shared" si="1"/>
        <v>0.55950671493478765</v>
      </c>
      <c r="D8" s="2">
        <f t="shared" si="2"/>
        <v>0.14037389581428059</v>
      </c>
      <c r="E8" s="2">
        <f t="shared" si="3"/>
        <v>0.73497408470263825</v>
      </c>
    </row>
    <row r="9" spans="1:5" x14ac:dyDescent="0.35">
      <c r="A9" s="1">
        <v>6</v>
      </c>
      <c r="B9" s="2">
        <f t="shared" si="0"/>
        <v>0.13385261753998337</v>
      </c>
      <c r="C9" s="2">
        <f t="shared" si="1"/>
        <v>0.71494349968336879</v>
      </c>
      <c r="D9" s="2">
        <f t="shared" si="2"/>
        <v>8.9235078359988909E-2</v>
      </c>
      <c r="E9" s="2">
        <f t="shared" si="3"/>
        <v>0.84879611722335213</v>
      </c>
    </row>
    <row r="10" spans="1:5" x14ac:dyDescent="0.35">
      <c r="A10" s="1">
        <v>7</v>
      </c>
      <c r="B10" s="2">
        <f t="shared" si="0"/>
        <v>9.1226191637349741E-2</v>
      </c>
      <c r="C10" s="2">
        <f t="shared" si="1"/>
        <v>0.82700839211792865</v>
      </c>
      <c r="D10" s="2">
        <f t="shared" si="2"/>
        <v>5.2129252364199873E-2</v>
      </c>
      <c r="E10" s="2">
        <f t="shared" si="3"/>
        <v>0.91823458375527833</v>
      </c>
    </row>
    <row r="11" spans="1:5" x14ac:dyDescent="0.35">
      <c r="A11" s="1">
        <v>8</v>
      </c>
      <c r="B11" s="2">
        <f t="shared" si="0"/>
        <v>5.7252288495362035E-2</v>
      </c>
      <c r="C11" s="2">
        <f t="shared" si="1"/>
        <v>0.90036759951295398</v>
      </c>
      <c r="D11" s="2">
        <f t="shared" si="2"/>
        <v>2.8626144247681014E-2</v>
      </c>
      <c r="E11" s="2">
        <f t="shared" si="3"/>
        <v>0.95761988800831599</v>
      </c>
    </row>
    <row r="12" spans="1:5" x14ac:dyDescent="0.35">
      <c r="A12" s="1">
        <v>9</v>
      </c>
      <c r="B12" s="2">
        <f t="shared" si="0"/>
        <v>3.3737155192196021E-2</v>
      </c>
      <c r="C12" s="2">
        <f t="shared" si="1"/>
        <v>0.94503635850489509</v>
      </c>
      <c r="D12" s="2">
        <f t="shared" si="2"/>
        <v>1.4994291196531567E-2</v>
      </c>
      <c r="E12" s="2">
        <f t="shared" si="3"/>
        <v>0.97877351369709109</v>
      </c>
    </row>
    <row r="13" spans="1:5" x14ac:dyDescent="0.35">
      <c r="A13" s="1">
        <v>10</v>
      </c>
      <c r="B13" s="2">
        <f t="shared" si="0"/>
        <v>1.8916637401035358E-2</v>
      </c>
      <c r="C13" s="2">
        <f t="shared" si="1"/>
        <v>0.97074731192303898</v>
      </c>
      <c r="D13" s="2">
        <f t="shared" si="2"/>
        <v>7.5666549604141422E-3</v>
      </c>
      <c r="E13" s="2">
        <f t="shared" si="3"/>
        <v>0.98966394932407431</v>
      </c>
    </row>
    <row r="14" spans="1:5" x14ac:dyDescent="0.35">
      <c r="A14" s="1">
        <v>11</v>
      </c>
      <c r="B14" s="2">
        <f t="shared" si="0"/>
        <v>1.0188733386249446E-2</v>
      </c>
      <c r="C14" s="2">
        <f t="shared" si="1"/>
        <v>0.98489539934782155</v>
      </c>
      <c r="D14" s="2">
        <f t="shared" si="2"/>
        <v>3.7049939586361624E-3</v>
      </c>
      <c r="E14" s="2">
        <f t="shared" si="3"/>
        <v>0.99508413273407104</v>
      </c>
    </row>
    <row r="15" spans="1:5" x14ac:dyDescent="0.35">
      <c r="A15" s="1">
        <v>12</v>
      </c>
      <c r="B15" s="2">
        <f t="shared" si="0"/>
        <v>5.308599473275573E-3</v>
      </c>
      <c r="C15" s="2">
        <f t="shared" si="1"/>
        <v>0.99239960931893301</v>
      </c>
      <c r="D15" s="2">
        <f t="shared" si="2"/>
        <v>1.7695331577585254E-3</v>
      </c>
      <c r="E15" s="2">
        <f t="shared" si="3"/>
        <v>0.99770820879220856</v>
      </c>
    </row>
    <row r="16" spans="1:5" x14ac:dyDescent="0.35">
      <c r="A16" s="1">
        <v>13</v>
      </c>
      <c r="B16" s="2">
        <f t="shared" si="0"/>
        <v>2.6898861746994115E-3</v>
      </c>
      <c r="C16" s="2">
        <f t="shared" si="1"/>
        <v>0.99625981409419007</v>
      </c>
      <c r="D16" s="2">
        <f t="shared" si="2"/>
        <v>8.2765728452289611E-4</v>
      </c>
      <c r="E16" s="2">
        <f t="shared" si="3"/>
        <v>0.99894970026888941</v>
      </c>
    </row>
    <row r="17" spans="1:5" x14ac:dyDescent="0.35">
      <c r="A17" s="1">
        <v>14</v>
      </c>
      <c r="B17" s="2">
        <f t="shared" si="0"/>
        <v>1.3310003030451104E-3</v>
      </c>
      <c r="C17" s="2">
        <f t="shared" si="1"/>
        <v>0.99819475115082623</v>
      </c>
      <c r="D17" s="2">
        <f t="shared" si="2"/>
        <v>3.802858008700317E-4</v>
      </c>
      <c r="E17" s="2">
        <f t="shared" si="3"/>
        <v>0.99952575145387135</v>
      </c>
    </row>
    <row r="18" spans="1:5" x14ac:dyDescent="0.35">
      <c r="A18" s="1">
        <v>15</v>
      </c>
      <c r="B18" s="2">
        <f t="shared" si="0"/>
        <v>6.4526270730853917E-4</v>
      </c>
      <c r="C18" s="2">
        <f t="shared" si="1"/>
        <v>0.99914335878922467</v>
      </c>
      <c r="D18" s="2">
        <f t="shared" si="2"/>
        <v>1.7207005528227699E-4</v>
      </c>
      <c r="E18" s="2">
        <f t="shared" si="3"/>
        <v>0.99978862149653325</v>
      </c>
    </row>
    <row r="19" spans="1:5" x14ac:dyDescent="0.35">
      <c r="B19" s="63" t="s">
        <v>2</v>
      </c>
      <c r="C19" s="63" t="s">
        <v>1</v>
      </c>
    </row>
    <row r="20" spans="1:5" x14ac:dyDescent="0.35">
      <c r="B20" s="63"/>
      <c r="C20" s="63"/>
    </row>
    <row r="22" spans="1:5" x14ac:dyDescent="0.35">
      <c r="A22" s="44" t="s">
        <v>46</v>
      </c>
      <c r="B22">
        <v>5</v>
      </c>
      <c r="C22" s="44" t="s">
        <v>45</v>
      </c>
      <c r="D22">
        <v>1</v>
      </c>
    </row>
    <row r="23" spans="1:5" x14ac:dyDescent="0.35">
      <c r="A23" s="44" t="s">
        <v>46</v>
      </c>
      <c r="B23">
        <v>4</v>
      </c>
      <c r="C23" s="44" t="s">
        <v>45</v>
      </c>
      <c r="D23">
        <v>1</v>
      </c>
    </row>
    <row r="24" spans="1:5" x14ac:dyDescent="0.35">
      <c r="B24" s="43"/>
    </row>
    <row r="25" spans="1:5" ht="16.5" customHeight="1" x14ac:dyDescent="0.35">
      <c r="B25" s="43"/>
    </row>
    <row r="26" spans="1:5" x14ac:dyDescent="0.35">
      <c r="A26" s="1"/>
      <c r="B26" s="7"/>
    </row>
    <row r="27" spans="1:5" x14ac:dyDescent="0.35">
      <c r="A27" s="1"/>
      <c r="B27" s="7"/>
    </row>
    <row r="28" spans="1:5" x14ac:dyDescent="0.35">
      <c r="A28" s="1"/>
      <c r="B28" s="7"/>
    </row>
    <row r="29" spans="1:5" x14ac:dyDescent="0.35">
      <c r="A29" s="1"/>
      <c r="B29" s="7"/>
    </row>
    <row r="30" spans="1:5" x14ac:dyDescent="0.35">
      <c r="A30" s="1"/>
      <c r="B30" s="7"/>
    </row>
    <row r="31" spans="1:5" x14ac:dyDescent="0.35">
      <c r="A31" s="1"/>
      <c r="B31" s="7"/>
    </row>
    <row r="32" spans="1:5" x14ac:dyDescent="0.35">
      <c r="A32" s="1"/>
      <c r="B32" s="7"/>
    </row>
    <row r="33" spans="1:4" x14ac:dyDescent="0.35">
      <c r="A33" s="1"/>
      <c r="B33" s="7"/>
    </row>
    <row r="34" spans="1:4" x14ac:dyDescent="0.35">
      <c r="A34" s="1"/>
      <c r="B34" s="7"/>
    </row>
    <row r="35" spans="1:4" x14ac:dyDescent="0.35">
      <c r="A35" s="1"/>
      <c r="B35" s="7"/>
    </row>
    <row r="36" spans="1:4" x14ac:dyDescent="0.35">
      <c r="A36" s="1"/>
      <c r="B36" s="7"/>
    </row>
    <row r="37" spans="1:4" x14ac:dyDescent="0.35">
      <c r="A37" s="1"/>
      <c r="B37" s="7"/>
    </row>
    <row r="38" spans="1:4" x14ac:dyDescent="0.35">
      <c r="A38" s="1"/>
      <c r="B38" s="7"/>
    </row>
    <row r="39" spans="1:4" x14ac:dyDescent="0.35">
      <c r="A39" s="1"/>
      <c r="B39" s="7"/>
    </row>
    <row r="40" spans="1:4" x14ac:dyDescent="0.35">
      <c r="A40" s="1"/>
      <c r="B40" s="7"/>
    </row>
    <row r="41" spans="1:4" x14ac:dyDescent="0.35">
      <c r="A41" s="1"/>
      <c r="B41" s="7"/>
    </row>
    <row r="45" spans="1:4" x14ac:dyDescent="0.35">
      <c r="A45" s="3"/>
    </row>
    <row r="46" spans="1:4" x14ac:dyDescent="0.35">
      <c r="A46" s="4"/>
      <c r="B46" s="5"/>
      <c r="C46" s="5"/>
      <c r="D46" s="5"/>
    </row>
    <row r="47" spans="1:4" x14ac:dyDescent="0.35">
      <c r="A47" s="6"/>
      <c r="B47" s="5"/>
      <c r="C47" s="5"/>
      <c r="D47" s="5"/>
    </row>
    <row r="48" spans="1:4" x14ac:dyDescent="0.35">
      <c r="A48" s="6"/>
      <c r="B48" s="5"/>
      <c r="C48" s="5"/>
      <c r="D48" s="5"/>
    </row>
    <row r="49" spans="1:4" x14ac:dyDescent="0.35">
      <c r="A49" s="6"/>
      <c r="B49" s="5"/>
      <c r="C49" s="5"/>
      <c r="D49" s="5"/>
    </row>
    <row r="50" spans="1:4" x14ac:dyDescent="0.35">
      <c r="A50" s="6"/>
      <c r="B50" s="5"/>
      <c r="C50" s="5"/>
      <c r="D50" s="5"/>
    </row>
    <row r="51" spans="1:4" x14ac:dyDescent="0.35">
      <c r="A51" s="6"/>
      <c r="B51" s="5"/>
      <c r="C51" s="5"/>
      <c r="D51" s="5"/>
    </row>
  </sheetData>
  <mergeCells count="2">
    <mergeCell ref="B19:B20"/>
    <mergeCell ref="C19:C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2"/>
  <sheetViews>
    <sheetView topLeftCell="A74" workbookViewId="0">
      <selection activeCell="C93" sqref="C93"/>
    </sheetView>
  </sheetViews>
  <sheetFormatPr baseColWidth="10" defaultColWidth="11.54296875" defaultRowHeight="12.5" x14ac:dyDescent="0.25"/>
  <cols>
    <col min="1" max="1" width="11.54296875" style="5"/>
    <col min="2" max="2" width="9.26953125" style="5" customWidth="1"/>
    <col min="3" max="16384" width="11.54296875" style="5"/>
  </cols>
  <sheetData>
    <row r="1" spans="1:12" ht="13" x14ac:dyDescent="0.3">
      <c r="A1" s="16" t="s">
        <v>24</v>
      </c>
      <c r="B1" s="16"/>
      <c r="C1" s="9" t="s">
        <v>4</v>
      </c>
      <c r="D1" s="8"/>
      <c r="E1" s="8"/>
      <c r="F1" s="8"/>
      <c r="G1" s="9" t="s">
        <v>4</v>
      </c>
      <c r="H1" s="8"/>
      <c r="I1" s="61" t="s">
        <v>49</v>
      </c>
      <c r="L1" s="61" t="s">
        <v>54</v>
      </c>
    </row>
    <row r="2" spans="1:12" ht="15.5" x14ac:dyDescent="0.4">
      <c r="A2" s="10" t="s">
        <v>0</v>
      </c>
      <c r="B2" s="10" t="s">
        <v>35</v>
      </c>
      <c r="C2" s="9" t="s">
        <v>5</v>
      </c>
      <c r="D2" s="9" t="s">
        <v>39</v>
      </c>
      <c r="E2" s="9" t="s">
        <v>40</v>
      </c>
      <c r="F2" s="9" t="s">
        <v>38</v>
      </c>
      <c r="G2" s="41" t="s">
        <v>32</v>
      </c>
      <c r="H2" s="8"/>
      <c r="I2" s="12" t="s">
        <v>48</v>
      </c>
      <c r="J2" s="23" t="s">
        <v>55</v>
      </c>
    </row>
    <row r="3" spans="1:12" x14ac:dyDescent="0.25">
      <c r="A3" s="11">
        <v>15</v>
      </c>
      <c r="B3" s="38">
        <v>15.5</v>
      </c>
      <c r="C3" s="12">
        <v>1.3612130955820828E-3</v>
      </c>
      <c r="D3" s="27">
        <f>B3*C3</f>
        <v>2.1098802981522283E-2</v>
      </c>
      <c r="E3" s="27">
        <f>B3*D3</f>
        <v>0.32703144621359537</v>
      </c>
      <c r="F3" s="39">
        <v>0.5</v>
      </c>
      <c r="G3" s="62">
        <f>C$38*D$44^D$43/D$45*F3^(D$43-1)*EXP(-D$44*F3)</f>
        <v>1.0574094523573699E-8</v>
      </c>
      <c r="H3" s="12"/>
      <c r="I3" s="12">
        <f>_xlfn.GAMMA.DIST(F3,$D$43,(1/$D$44),FALSE)</f>
        <v>5.2520871418958983E-9</v>
      </c>
      <c r="J3" s="36">
        <f>I3*$C$38</f>
        <v>1.0573327597457416E-8</v>
      </c>
      <c r="L3" s="12">
        <f>_xlfn.GAMMA.DIST(F3,$D$43,(1/$D$44),TRUE)</f>
        <v>3.3167265163913781E-10</v>
      </c>
    </row>
    <row r="4" spans="1:12" x14ac:dyDescent="0.25">
      <c r="A4" s="11">
        <v>16</v>
      </c>
      <c r="B4" s="38">
        <v>16.5</v>
      </c>
      <c r="C4" s="12">
        <v>2.9526766957771729E-3</v>
      </c>
      <c r="D4" s="27">
        <f t="shared" ref="D4:D37" si="0">B4*C4</f>
        <v>4.8719165480323352E-2</v>
      </c>
      <c r="E4" s="27">
        <f t="shared" ref="E4:E37" si="1">B4*D4</f>
        <v>0.80386623042533534</v>
      </c>
      <c r="F4" s="39">
        <v>1.5</v>
      </c>
      <c r="G4" s="62">
        <f t="shared" ref="G4:G37" si="2">C$38*D$44^D$43/D$45*F4^(D$43-1)*EXP(-D$44*F4)</f>
        <v>1.5996844334953442E-5</v>
      </c>
      <c r="H4" s="12"/>
      <c r="I4" s="12">
        <f t="shared" ref="I4:I37" si="3">_xlfn.GAMMA.DIST(F4,$D$43,(1/$D$44),FALSE)</f>
        <v>7.9455333272474123E-6</v>
      </c>
      <c r="J4" s="36">
        <f t="shared" ref="J4:J37" si="4">I4*$C$38</f>
        <v>1.5995684103439402E-5</v>
      </c>
      <c r="L4" s="12">
        <f t="shared" ref="L4:L37" si="5">_xlfn.GAMMA.DIST(F4,$D$43,(1/$D$44),TRUE)</f>
        <v>1.6019161685396395E-6</v>
      </c>
    </row>
    <row r="5" spans="1:12" x14ac:dyDescent="0.25">
      <c r="A5" s="11">
        <v>17</v>
      </c>
      <c r="B5" s="38">
        <v>17.5</v>
      </c>
      <c r="C5" s="12">
        <v>6.7560996693536183E-3</v>
      </c>
      <c r="D5" s="27">
        <f t="shared" si="0"/>
        <v>0.11823174421368832</v>
      </c>
      <c r="E5" s="27">
        <f t="shared" si="1"/>
        <v>2.0690555237395456</v>
      </c>
      <c r="F5" s="39">
        <v>2.5</v>
      </c>
      <c r="G5" s="62">
        <f t="shared" si="2"/>
        <v>3.6009957632328034E-4</v>
      </c>
      <c r="H5" s="12"/>
      <c r="I5" s="12">
        <f t="shared" si="3"/>
        <v>1.7885922528811259E-4</v>
      </c>
      <c r="J5" s="36">
        <f t="shared" si="4"/>
        <v>3.6007345874234514E-4</v>
      </c>
      <c r="L5" s="12">
        <f t="shared" si="5"/>
        <v>6.4160786296002805E-5</v>
      </c>
    </row>
    <row r="6" spans="1:12" x14ac:dyDescent="0.25">
      <c r="A6" s="11">
        <v>18</v>
      </c>
      <c r="B6" s="38">
        <v>18.5</v>
      </c>
      <c r="C6" s="12">
        <v>1.3237440744125105E-2</v>
      </c>
      <c r="D6" s="27">
        <f t="shared" si="0"/>
        <v>0.24489265376631444</v>
      </c>
      <c r="E6" s="27">
        <f t="shared" si="1"/>
        <v>4.5305140946768176</v>
      </c>
      <c r="F6" s="39">
        <v>3.5</v>
      </c>
      <c r="G6" s="62">
        <f t="shared" si="2"/>
        <v>2.3267724066355485E-3</v>
      </c>
      <c r="H6" s="12"/>
      <c r="I6" s="12">
        <f t="shared" si="3"/>
        <v>1.1556934176978238E-3</v>
      </c>
      <c r="J6" s="36">
        <f t="shared" si="4"/>
        <v>2.326603648684564E-3</v>
      </c>
      <c r="L6" s="12">
        <f t="shared" si="5"/>
        <v>6.2173794385647835E-4</v>
      </c>
    </row>
    <row r="7" spans="1:12" x14ac:dyDescent="0.25">
      <c r="A7" s="11">
        <v>19</v>
      </c>
      <c r="B7" s="38">
        <v>19.5</v>
      </c>
      <c r="C7" s="12">
        <v>2.4081113713098266E-2</v>
      </c>
      <c r="D7" s="27">
        <f t="shared" si="0"/>
        <v>0.46958171740541615</v>
      </c>
      <c r="E7" s="27">
        <f t="shared" si="1"/>
        <v>9.156843489405615</v>
      </c>
      <c r="F7" s="39">
        <v>4.5</v>
      </c>
      <c r="G7" s="62">
        <f t="shared" si="2"/>
        <v>8.172093479782894E-3</v>
      </c>
      <c r="H7" s="12"/>
      <c r="I7" s="12">
        <f t="shared" si="3"/>
        <v>4.0590281268862057E-3</v>
      </c>
      <c r="J7" s="36">
        <f t="shared" si="4"/>
        <v>8.1715007678584452E-3</v>
      </c>
      <c r="L7" s="12">
        <f t="shared" si="5"/>
        <v>3.018664324590397E-3</v>
      </c>
    </row>
    <row r="8" spans="1:12" x14ac:dyDescent="0.25">
      <c r="A8" s="11">
        <v>20</v>
      </c>
      <c r="B8" s="38">
        <v>20.5</v>
      </c>
      <c r="C8" s="12">
        <v>3.4254313560280553E-2</v>
      </c>
      <c r="D8" s="27">
        <f t="shared" si="0"/>
        <v>0.70221342798575137</v>
      </c>
      <c r="E8" s="27">
        <f t="shared" si="1"/>
        <v>14.395375273707904</v>
      </c>
      <c r="F8" s="39">
        <v>5.5</v>
      </c>
      <c r="G8" s="62">
        <f t="shared" si="2"/>
        <v>1.997393412785153E-2</v>
      </c>
      <c r="H8" s="12"/>
      <c r="I8" s="12">
        <f t="shared" si="3"/>
        <v>9.9209291511525421E-3</v>
      </c>
      <c r="J8" s="36">
        <f t="shared" si="4"/>
        <v>1.9972485442889116E-2</v>
      </c>
      <c r="L8" s="12">
        <f t="shared" si="5"/>
        <v>9.7344930686686787E-3</v>
      </c>
    </row>
    <row r="9" spans="1:12" x14ac:dyDescent="0.25">
      <c r="A9" s="11">
        <v>21</v>
      </c>
      <c r="B9" s="38">
        <v>21.5</v>
      </c>
      <c r="C9" s="12">
        <v>4.5648053356578851E-2</v>
      </c>
      <c r="D9" s="27">
        <f t="shared" si="0"/>
        <v>0.98143314716644525</v>
      </c>
      <c r="E9" s="27">
        <f t="shared" si="1"/>
        <v>21.100812664078575</v>
      </c>
      <c r="F9" s="39">
        <v>6.5</v>
      </c>
      <c r="G9" s="62">
        <f t="shared" si="2"/>
        <v>3.837791168785247E-2</v>
      </c>
      <c r="H9" s="12"/>
      <c r="I9" s="12">
        <f t="shared" si="3"/>
        <v>1.9062070615996789E-2</v>
      </c>
      <c r="J9" s="36">
        <f t="shared" si="4"/>
        <v>3.837512818495345E-2</v>
      </c>
      <c r="L9" s="12">
        <f t="shared" si="5"/>
        <v>2.3964776727204297E-2</v>
      </c>
    </row>
    <row r="10" spans="1:12" x14ac:dyDescent="0.25">
      <c r="A10" s="11">
        <v>22</v>
      </c>
      <c r="B10" s="38">
        <v>22.5</v>
      </c>
      <c r="C10" s="12">
        <v>5.8466301045269536E-2</v>
      </c>
      <c r="D10" s="27">
        <f t="shared" si="0"/>
        <v>1.3154917735185645</v>
      </c>
      <c r="E10" s="27">
        <f t="shared" si="1"/>
        <v>29.598564904167702</v>
      </c>
      <c r="F10" s="39">
        <v>7.5</v>
      </c>
      <c r="G10" s="62">
        <f t="shared" si="2"/>
        <v>6.2119720679253844E-2</v>
      </c>
      <c r="H10" s="12"/>
      <c r="I10" s="12">
        <f t="shared" si="3"/>
        <v>3.0854479833740865E-2</v>
      </c>
      <c r="J10" s="36">
        <f t="shared" si="4"/>
        <v>6.211521521204643E-2</v>
      </c>
      <c r="L10" s="12">
        <f t="shared" si="5"/>
        <v>4.8751004978299428E-2</v>
      </c>
    </row>
    <row r="11" spans="1:12" x14ac:dyDescent="0.25">
      <c r="A11" s="11">
        <v>23</v>
      </c>
      <c r="B11" s="38">
        <v>23.5</v>
      </c>
      <c r="C11" s="12">
        <v>7.3929400178342944E-2</v>
      </c>
      <c r="D11" s="27">
        <f t="shared" si="0"/>
        <v>1.7373409041910592</v>
      </c>
      <c r="E11" s="27">
        <f t="shared" si="1"/>
        <v>40.827511248489891</v>
      </c>
      <c r="F11" s="39">
        <v>8.5</v>
      </c>
      <c r="G11" s="62">
        <f t="shared" si="2"/>
        <v>8.8432138700651697E-2</v>
      </c>
      <c r="H11" s="12"/>
      <c r="I11" s="12">
        <f t="shared" si="3"/>
        <v>4.3923694607098919E-2</v>
      </c>
      <c r="J11" s="36">
        <f t="shared" si="4"/>
        <v>8.8425724826013505E-2</v>
      </c>
      <c r="L11" s="12">
        <f t="shared" si="5"/>
        <v>8.6102703424580013E-2</v>
      </c>
    </row>
    <row r="12" spans="1:12" x14ac:dyDescent="0.25">
      <c r="A12" s="11">
        <v>24</v>
      </c>
      <c r="B12" s="38">
        <v>24.5</v>
      </c>
      <c r="C12" s="12">
        <v>8.950618072390723E-2</v>
      </c>
      <c r="D12" s="27">
        <f t="shared" si="0"/>
        <v>2.1929014277357273</v>
      </c>
      <c r="E12" s="27">
        <f t="shared" si="1"/>
        <v>53.726084979525318</v>
      </c>
      <c r="F12" s="39">
        <v>9.5</v>
      </c>
      <c r="G12" s="62">
        <f t="shared" si="2"/>
        <v>0.11393565801271154</v>
      </c>
      <c r="H12" s="12"/>
      <c r="I12" s="12">
        <f t="shared" si="3"/>
        <v>5.6591134410416591E-2</v>
      </c>
      <c r="J12" s="36">
        <f t="shared" si="4"/>
        <v>0.11392739439907407</v>
      </c>
      <c r="L12" s="12">
        <f t="shared" si="5"/>
        <v>0.13646265870220486</v>
      </c>
    </row>
    <row r="13" spans="1:12" x14ac:dyDescent="0.25">
      <c r="A13" s="11">
        <v>25</v>
      </c>
      <c r="B13" s="38">
        <v>25.5</v>
      </c>
      <c r="C13" s="12">
        <v>0.10820406337352576</v>
      </c>
      <c r="D13" s="27">
        <f t="shared" si="0"/>
        <v>2.7592036160249069</v>
      </c>
      <c r="E13" s="27">
        <f t="shared" si="1"/>
        <v>70.359692208635124</v>
      </c>
      <c r="F13" s="39">
        <f t="shared" ref="F13:F37" si="6">B13-15</f>
        <v>10.5</v>
      </c>
      <c r="G13" s="62">
        <f t="shared" si="2"/>
        <v>0.13554036955325469</v>
      </c>
      <c r="H13" s="12"/>
      <c r="I13" s="12">
        <f t="shared" si="3"/>
        <v>6.7322060584141571E-2</v>
      </c>
      <c r="J13" s="36">
        <f t="shared" si="4"/>
        <v>0.13553053897636816</v>
      </c>
      <c r="L13" s="12">
        <f t="shared" si="5"/>
        <v>0.19863421961087621</v>
      </c>
    </row>
    <row r="14" spans="1:12" x14ac:dyDescent="0.25">
      <c r="A14" s="11">
        <v>26</v>
      </c>
      <c r="B14" s="38">
        <v>26.5</v>
      </c>
      <c r="C14" s="12">
        <v>0.1234393881020724</v>
      </c>
      <c r="D14" s="27">
        <f t="shared" si="0"/>
        <v>3.2711437847049187</v>
      </c>
      <c r="E14" s="27">
        <f t="shared" si="1"/>
        <v>86.685310294680349</v>
      </c>
      <c r="F14" s="39">
        <f t="shared" si="6"/>
        <v>11.5</v>
      </c>
      <c r="G14" s="62">
        <f t="shared" si="2"/>
        <v>0.15106012971794774</v>
      </c>
      <c r="H14" s="12"/>
      <c r="I14" s="12">
        <f t="shared" si="3"/>
        <v>7.503062916413436E-2</v>
      </c>
      <c r="J14" s="36">
        <f t="shared" si="4"/>
        <v>0.15104917351187763</v>
      </c>
      <c r="L14" s="12">
        <f t="shared" si="5"/>
        <v>0.2700928004738416</v>
      </c>
    </row>
    <row r="15" spans="1:12" x14ac:dyDescent="0.25">
      <c r="A15" s="11">
        <v>27</v>
      </c>
      <c r="B15" s="38">
        <v>27.5</v>
      </c>
      <c r="C15" s="12">
        <v>0.13814579856459208</v>
      </c>
      <c r="D15" s="27">
        <f t="shared" si="0"/>
        <v>3.7990094605262823</v>
      </c>
      <c r="E15" s="27">
        <f t="shared" si="1"/>
        <v>104.47276016447276</v>
      </c>
      <c r="F15" s="39">
        <f t="shared" si="6"/>
        <v>12.5</v>
      </c>
      <c r="G15" s="62">
        <f t="shared" si="2"/>
        <v>0.15945331017130429</v>
      </c>
      <c r="H15" s="12"/>
      <c r="I15" s="12">
        <f t="shared" si="3"/>
        <v>7.9199469819039386E-2</v>
      </c>
      <c r="J15" s="36">
        <f t="shared" si="4"/>
        <v>0.15944174521814186</v>
      </c>
      <c r="L15" s="12">
        <f t="shared" si="5"/>
        <v>0.34750952083445991</v>
      </c>
    </row>
    <row r="16" spans="1:12" x14ac:dyDescent="0.25">
      <c r="A16" s="11">
        <v>28</v>
      </c>
      <c r="B16" s="38">
        <v>28.5</v>
      </c>
      <c r="C16" s="12">
        <v>0.14740084236827947</v>
      </c>
      <c r="D16" s="27">
        <f t="shared" si="0"/>
        <v>4.2009240074959644</v>
      </c>
      <c r="E16" s="27">
        <f t="shared" si="1"/>
        <v>119.72633421363498</v>
      </c>
      <c r="F16" s="39">
        <f t="shared" si="6"/>
        <v>13.5</v>
      </c>
      <c r="G16" s="62">
        <f t="shared" si="2"/>
        <v>0.16075184389044375</v>
      </c>
      <c r="H16" s="12"/>
      <c r="I16" s="12">
        <f t="shared" si="3"/>
        <v>7.98444434604616E-2</v>
      </c>
      <c r="J16" s="36">
        <f t="shared" si="4"/>
        <v>0.16074018475622243</v>
      </c>
      <c r="L16" s="12">
        <f t="shared" si="5"/>
        <v>0.42731258420979834</v>
      </c>
    </row>
    <row r="17" spans="1:12" x14ac:dyDescent="0.25">
      <c r="A17" s="11">
        <v>29</v>
      </c>
      <c r="B17" s="38">
        <v>29.5</v>
      </c>
      <c r="C17" s="12">
        <v>0.15164925485069577</v>
      </c>
      <c r="D17" s="27">
        <f t="shared" si="0"/>
        <v>4.4736530180955256</v>
      </c>
      <c r="E17" s="27">
        <f t="shared" si="1"/>
        <v>131.97276403381801</v>
      </c>
      <c r="F17" s="39">
        <f t="shared" si="6"/>
        <v>14.5</v>
      </c>
      <c r="G17" s="62">
        <f t="shared" si="2"/>
        <v>0.15580187199283435</v>
      </c>
      <c r="H17" s="12"/>
      <c r="I17" s="12">
        <f t="shared" si="3"/>
        <v>7.7385823131484996E-2</v>
      </c>
      <c r="J17" s="36">
        <f t="shared" si="4"/>
        <v>0.15579057187400847</v>
      </c>
      <c r="L17" s="12">
        <f t="shared" si="5"/>
        <v>0.50616120136817089</v>
      </c>
    </row>
    <row r="18" spans="1:12" x14ac:dyDescent="0.25">
      <c r="A18" s="11">
        <v>30</v>
      </c>
      <c r="B18" s="38">
        <v>30.5</v>
      </c>
      <c r="C18" s="12">
        <v>0.15016069522944989</v>
      </c>
      <c r="D18" s="27">
        <f t="shared" si="0"/>
        <v>4.5799012044982215</v>
      </c>
      <c r="E18" s="27">
        <f t="shared" si="1"/>
        <v>139.68698673719575</v>
      </c>
      <c r="F18" s="39">
        <f t="shared" si="6"/>
        <v>15.5</v>
      </c>
      <c r="G18" s="62">
        <f t="shared" si="2"/>
        <v>0.14593758468113716</v>
      </c>
      <c r="H18" s="12"/>
      <c r="I18" s="12">
        <f t="shared" si="3"/>
        <v>7.2486292827662585E-2</v>
      </c>
      <c r="J18" s="36">
        <f t="shared" si="4"/>
        <v>0.14592700000698036</v>
      </c>
      <c r="L18" s="12">
        <f t="shared" si="5"/>
        <v>0.58126963097659434</v>
      </c>
    </row>
    <row r="19" spans="1:12" x14ac:dyDescent="0.25">
      <c r="A19" s="11">
        <v>31</v>
      </c>
      <c r="B19" s="38">
        <v>31.5</v>
      </c>
      <c r="C19" s="12">
        <v>0.14161067484011428</v>
      </c>
      <c r="D19" s="27">
        <f t="shared" si="0"/>
        <v>4.4607362574635996</v>
      </c>
      <c r="E19" s="27">
        <f t="shared" si="1"/>
        <v>140.51319211010338</v>
      </c>
      <c r="F19" s="39">
        <f t="shared" si="6"/>
        <v>16.5</v>
      </c>
      <c r="G19" s="62">
        <f t="shared" si="2"/>
        <v>0.1326765369664642</v>
      </c>
      <c r="H19" s="12"/>
      <c r="I19" s="12">
        <f t="shared" si="3"/>
        <v>6.5899612707201224E-2</v>
      </c>
      <c r="J19" s="36">
        <f t="shared" si="4"/>
        <v>0.13266691409984546</v>
      </c>
      <c r="L19" s="12">
        <f t="shared" si="5"/>
        <v>0.65057174702914489</v>
      </c>
    </row>
    <row r="20" spans="1:12" x14ac:dyDescent="0.25">
      <c r="A20" s="11">
        <v>32</v>
      </c>
      <c r="B20" s="38">
        <v>32.5</v>
      </c>
      <c r="C20" s="12">
        <v>0.1304385112343491</v>
      </c>
      <c r="D20" s="27">
        <f t="shared" si="0"/>
        <v>4.2392516151163457</v>
      </c>
      <c r="E20" s="27">
        <f t="shared" si="1"/>
        <v>137.77567749128124</v>
      </c>
      <c r="F20" s="39">
        <f t="shared" si="6"/>
        <v>17.5</v>
      </c>
      <c r="G20" s="62">
        <f t="shared" si="2"/>
        <v>0.11748450389008769</v>
      </c>
      <c r="H20" s="12"/>
      <c r="I20" s="12">
        <f t="shared" si="3"/>
        <v>5.8353824138561779E-2</v>
      </c>
      <c r="J20" s="36">
        <f t="shared" si="4"/>
        <v>0.11747598288300856</v>
      </c>
      <c r="L20" s="12">
        <f t="shared" si="5"/>
        <v>0.71275032390675186</v>
      </c>
    </row>
    <row r="21" spans="1:12" x14ac:dyDescent="0.25">
      <c r="A21" s="11">
        <v>33</v>
      </c>
      <c r="B21" s="38">
        <v>33.5</v>
      </c>
      <c r="C21" s="12">
        <v>0.11578762757606138</v>
      </c>
      <c r="D21" s="27">
        <f t="shared" si="0"/>
        <v>3.8788855237980564</v>
      </c>
      <c r="E21" s="27">
        <f t="shared" si="1"/>
        <v>129.9426650472349</v>
      </c>
      <c r="F21" s="39">
        <f t="shared" si="6"/>
        <v>18.5</v>
      </c>
      <c r="G21" s="62">
        <f t="shared" si="2"/>
        <v>0.10162457539829474</v>
      </c>
      <c r="H21" s="12"/>
      <c r="I21" s="12">
        <f t="shared" si="3"/>
        <v>5.0476296061105048E-2</v>
      </c>
      <c r="J21" s="36">
        <f t="shared" si="4"/>
        <v>0.10161720469239152</v>
      </c>
      <c r="L21" s="12">
        <f t="shared" si="5"/>
        <v>0.76717038003383031</v>
      </c>
    </row>
    <row r="22" spans="1:12" x14ac:dyDescent="0.25">
      <c r="A22" s="11">
        <v>34</v>
      </c>
      <c r="B22" s="38">
        <v>34.5</v>
      </c>
      <c r="C22" s="12">
        <v>9.9532267289265647E-2</v>
      </c>
      <c r="D22" s="27">
        <f t="shared" si="0"/>
        <v>3.4338632214796649</v>
      </c>
      <c r="E22" s="27">
        <f t="shared" si="1"/>
        <v>118.46828114104844</v>
      </c>
      <c r="F22" s="39">
        <f t="shared" si="6"/>
        <v>19.5</v>
      </c>
      <c r="G22" s="62">
        <f t="shared" si="2"/>
        <v>8.6083463058382687E-2</v>
      </c>
      <c r="H22" s="12"/>
      <c r="I22" s="12">
        <f t="shared" si="3"/>
        <v>4.2757121988162748E-2</v>
      </c>
      <c r="J22" s="36">
        <f t="shared" si="4"/>
        <v>8.6077219530310528E-2</v>
      </c>
      <c r="L22" s="12">
        <f t="shared" si="5"/>
        <v>0.81375732986520721</v>
      </c>
    </row>
    <row r="23" spans="1:12" x14ac:dyDescent="0.25">
      <c r="A23" s="11">
        <v>35</v>
      </c>
      <c r="B23" s="38">
        <v>35.5</v>
      </c>
      <c r="C23" s="12">
        <v>8.6652349180564761E-2</v>
      </c>
      <c r="D23" s="27">
        <f t="shared" si="0"/>
        <v>3.0761583959100491</v>
      </c>
      <c r="E23" s="27">
        <f t="shared" si="1"/>
        <v>109.20362305480674</v>
      </c>
      <c r="F23" s="39">
        <f t="shared" si="6"/>
        <v>20.5</v>
      </c>
      <c r="G23" s="62">
        <f t="shared" si="2"/>
        <v>7.1557286261364192E-2</v>
      </c>
      <c r="H23" s="12"/>
      <c r="I23" s="12">
        <f t="shared" si="3"/>
        <v>3.5542060102112527E-2</v>
      </c>
      <c r="J23" s="36">
        <f t="shared" si="4"/>
        <v>7.1552096299091678E-2</v>
      </c>
      <c r="L23" s="12">
        <f t="shared" si="5"/>
        <v>0.85285414092435297</v>
      </c>
    </row>
    <row r="24" spans="1:12" x14ac:dyDescent="0.25">
      <c r="A24" s="11">
        <v>36</v>
      </c>
      <c r="B24" s="38">
        <v>36.5</v>
      </c>
      <c r="C24" s="12">
        <v>7.0516734456165395E-2</v>
      </c>
      <c r="D24" s="27">
        <f t="shared" si="0"/>
        <v>2.5738608076500369</v>
      </c>
      <c r="E24" s="27">
        <f t="shared" si="1"/>
        <v>93.945919479226347</v>
      </c>
      <c r="F24" s="39">
        <f t="shared" si="6"/>
        <v>21.5</v>
      </c>
      <c r="G24" s="62">
        <f t="shared" si="2"/>
        <v>5.8476491244876388E-2</v>
      </c>
      <c r="H24" s="12"/>
      <c r="I24" s="12">
        <f t="shared" si="3"/>
        <v>2.904491037844498E-2</v>
      </c>
      <c r="J24" s="36">
        <f t="shared" si="4"/>
        <v>5.8472250016634753E-2</v>
      </c>
      <c r="L24" s="12">
        <f t="shared" si="5"/>
        <v>0.88508197123745036</v>
      </c>
    </row>
    <row r="25" spans="1:12" x14ac:dyDescent="0.25">
      <c r="A25" s="11">
        <v>37</v>
      </c>
      <c r="B25" s="38">
        <v>37.5</v>
      </c>
      <c r="C25" s="12">
        <v>5.637376752682028E-2</v>
      </c>
      <c r="D25" s="27">
        <f t="shared" si="0"/>
        <v>2.1140162822557604</v>
      </c>
      <c r="E25" s="27">
        <f t="shared" si="1"/>
        <v>79.275610584591021</v>
      </c>
      <c r="F25" s="39">
        <f t="shared" si="6"/>
        <v>22.5</v>
      </c>
      <c r="G25" s="62">
        <f t="shared" si="2"/>
        <v>4.7051747936948017E-2</v>
      </c>
      <c r="H25" s="12"/>
      <c r="I25" s="12">
        <f t="shared" si="3"/>
        <v>2.3370311263290471E-2</v>
      </c>
      <c r="J25" s="36">
        <f t="shared" si="4"/>
        <v>4.704833533133651E-2</v>
      </c>
      <c r="L25" s="12">
        <f t="shared" si="5"/>
        <v>0.91121906365359118</v>
      </c>
    </row>
    <row r="26" spans="1:12" x14ac:dyDescent="0.25">
      <c r="A26" s="11">
        <v>38</v>
      </c>
      <c r="B26" s="38">
        <v>38.5</v>
      </c>
      <c r="C26" s="12">
        <v>4.410406677321968E-2</v>
      </c>
      <c r="D26" s="27">
        <f t="shared" si="0"/>
        <v>1.6980065707689578</v>
      </c>
      <c r="E26" s="27">
        <f t="shared" si="1"/>
        <v>65.373252974604881</v>
      </c>
      <c r="F26" s="39">
        <f t="shared" si="6"/>
        <v>23.5</v>
      </c>
      <c r="G26" s="62">
        <f t="shared" si="2"/>
        <v>3.7326992275299807E-2</v>
      </c>
      <c r="H26" s="12"/>
      <c r="I26" s="12">
        <f t="shared" si="3"/>
        <v>1.8540085464310106E-2</v>
      </c>
      <c r="J26" s="36">
        <f t="shared" si="4"/>
        <v>3.7324284994297727E-2</v>
      </c>
      <c r="L26" s="12">
        <f t="shared" si="5"/>
        <v>0.93210468511979172</v>
      </c>
    </row>
    <row r="27" spans="1:12" x14ac:dyDescent="0.25">
      <c r="A27" s="11">
        <v>39</v>
      </c>
      <c r="B27" s="38">
        <v>39.5</v>
      </c>
      <c r="C27" s="12">
        <v>3.4239400183073233E-2</v>
      </c>
      <c r="D27" s="27">
        <f t="shared" si="0"/>
        <v>1.3524563072313927</v>
      </c>
      <c r="E27" s="27">
        <f t="shared" si="1"/>
        <v>53.422024135640008</v>
      </c>
      <c r="F27" s="39">
        <f t="shared" si="6"/>
        <v>24.5</v>
      </c>
      <c r="G27" s="62">
        <f t="shared" si="2"/>
        <v>2.9230450712588136E-2</v>
      </c>
      <c r="H27" s="12"/>
      <c r="I27" s="12">
        <f t="shared" si="3"/>
        <v>1.4518583505864177E-2</v>
      </c>
      <c r="J27" s="36">
        <f t="shared" si="4"/>
        <v>2.9228330663822494E-2</v>
      </c>
      <c r="L27" s="12">
        <f t="shared" si="5"/>
        <v>0.94856919932181671</v>
      </c>
    </row>
    <row r="28" spans="1:12" x14ac:dyDescent="0.25">
      <c r="A28" s="11">
        <v>40</v>
      </c>
      <c r="B28" s="38">
        <v>40.5</v>
      </c>
      <c r="C28" s="12">
        <v>2.4684952828256626E-2</v>
      </c>
      <c r="D28" s="27">
        <f t="shared" si="0"/>
        <v>0.99974058954439338</v>
      </c>
      <c r="E28" s="27">
        <f t="shared" si="1"/>
        <v>40.489493876547932</v>
      </c>
      <c r="F28" s="39">
        <f t="shared" si="6"/>
        <v>25.5</v>
      </c>
      <c r="G28" s="62">
        <f t="shared" si="2"/>
        <v>2.2618524602304985E-2</v>
      </c>
      <c r="H28" s="12"/>
      <c r="I28" s="12">
        <f t="shared" si="3"/>
        <v>1.1234480831203457E-2</v>
      </c>
      <c r="J28" s="36">
        <f t="shared" si="4"/>
        <v>2.2616884108436652E-2</v>
      </c>
      <c r="L28" s="12">
        <f t="shared" si="5"/>
        <v>0.96138785080602118</v>
      </c>
    </row>
    <row r="29" spans="1:12" x14ac:dyDescent="0.25">
      <c r="A29" s="11">
        <v>41</v>
      </c>
      <c r="B29" s="38">
        <v>41.5</v>
      </c>
      <c r="C29" s="12">
        <v>1.6428809828841713E-2</v>
      </c>
      <c r="D29" s="27">
        <f t="shared" si="0"/>
        <v>0.68179560789693106</v>
      </c>
      <c r="E29" s="27">
        <f t="shared" si="1"/>
        <v>28.294517727722639</v>
      </c>
      <c r="F29" s="39">
        <f t="shared" si="6"/>
        <v>26.5</v>
      </c>
      <c r="G29" s="62">
        <f t="shared" si="2"/>
        <v>1.7310443028911812E-2</v>
      </c>
      <c r="H29" s="12"/>
      <c r="I29" s="12">
        <f t="shared" si="3"/>
        <v>8.5979896481900003E-3</v>
      </c>
      <c r="J29" s="36">
        <f t="shared" si="4"/>
        <v>1.7309187523694446E-2</v>
      </c>
      <c r="L29" s="12">
        <f t="shared" si="5"/>
        <v>0.97125409134092733</v>
      </c>
    </row>
    <row r="30" spans="1:12" x14ac:dyDescent="0.25">
      <c r="A30" s="11">
        <v>42</v>
      </c>
      <c r="B30" s="38">
        <v>42.5</v>
      </c>
      <c r="C30" s="12">
        <v>1.0509645342598567E-2</v>
      </c>
      <c r="D30" s="27">
        <f t="shared" si="0"/>
        <v>0.44665992706043911</v>
      </c>
      <c r="E30" s="27">
        <f t="shared" si="1"/>
        <v>18.983046900068661</v>
      </c>
      <c r="F30" s="39">
        <f t="shared" si="6"/>
        <v>27.5</v>
      </c>
      <c r="G30" s="62">
        <f t="shared" si="2"/>
        <v>1.3113596083448727E-2</v>
      </c>
      <c r="H30" s="12"/>
      <c r="I30" s="12">
        <f t="shared" si="3"/>
        <v>6.5134418101097389E-3</v>
      </c>
      <c r="J30" s="36">
        <f t="shared" si="4"/>
        <v>1.3112644970396672E-2</v>
      </c>
      <c r="L30" s="12">
        <f t="shared" si="5"/>
        <v>0.9787677779508408</v>
      </c>
    </row>
    <row r="31" spans="1:12" x14ac:dyDescent="0.25">
      <c r="A31" s="11">
        <v>43</v>
      </c>
      <c r="B31" s="38">
        <v>43.5</v>
      </c>
      <c r="C31" s="12">
        <v>6.1990182426953123E-3</v>
      </c>
      <c r="D31" s="27">
        <f t="shared" si="0"/>
        <v>0.2696572935572461</v>
      </c>
      <c r="E31" s="27">
        <f t="shared" si="1"/>
        <v>11.730092269740206</v>
      </c>
      <c r="F31" s="39">
        <f t="shared" si="6"/>
        <v>28.5</v>
      </c>
      <c r="G31" s="62">
        <f t="shared" si="2"/>
        <v>9.8406024208724258E-3</v>
      </c>
      <c r="H31" s="12"/>
      <c r="I31" s="12">
        <f t="shared" si="3"/>
        <v>4.8877661655048425E-3</v>
      </c>
      <c r="J31" s="36">
        <f t="shared" si="4"/>
        <v>9.8398886940393622E-3</v>
      </c>
      <c r="L31" s="12">
        <f t="shared" si="5"/>
        <v>0.9844338430101498</v>
      </c>
    </row>
    <row r="32" spans="1:12" x14ac:dyDescent="0.25">
      <c r="A32" s="11">
        <v>44</v>
      </c>
      <c r="B32" s="38">
        <v>44.5</v>
      </c>
      <c r="C32" s="12">
        <v>3.2773673606447278E-3</v>
      </c>
      <c r="D32" s="27">
        <f t="shared" si="0"/>
        <v>0.1458428475486904</v>
      </c>
      <c r="E32" s="27">
        <f t="shared" si="1"/>
        <v>6.4900067159167225</v>
      </c>
      <c r="F32" s="39">
        <f t="shared" si="6"/>
        <v>29.5</v>
      </c>
      <c r="G32" s="62">
        <f t="shared" si="2"/>
        <v>7.319672091740244E-3</v>
      </c>
      <c r="H32" s="12"/>
      <c r="I32" s="12">
        <f t="shared" si="3"/>
        <v>3.6356357123740204E-3</v>
      </c>
      <c r="J32" s="36">
        <f t="shared" si="4"/>
        <v>7.3191412048943328E-3</v>
      </c>
      <c r="L32" s="12">
        <f t="shared" si="5"/>
        <v>0.98866770769132351</v>
      </c>
    </row>
    <row r="33" spans="1:12" x14ac:dyDescent="0.25">
      <c r="A33" s="11">
        <v>45</v>
      </c>
      <c r="B33" s="38">
        <v>45.5</v>
      </c>
      <c r="C33" s="12">
        <v>1.711290638996368E-3</v>
      </c>
      <c r="D33" s="27">
        <f t="shared" si="0"/>
        <v>7.7863724074334742E-2</v>
      </c>
      <c r="E33" s="27">
        <f t="shared" si="1"/>
        <v>3.5427994453822307</v>
      </c>
      <c r="F33" s="39">
        <f t="shared" si="6"/>
        <v>30.5</v>
      </c>
      <c r="G33" s="62">
        <f t="shared" si="2"/>
        <v>5.3999162699582774E-3</v>
      </c>
      <c r="H33" s="12"/>
      <c r="I33" s="12">
        <f t="shared" si="3"/>
        <v>2.6821049070003362E-3</v>
      </c>
      <c r="J33" s="36">
        <f t="shared" si="4"/>
        <v>5.3995246206493177E-3</v>
      </c>
      <c r="L33" s="12">
        <f t="shared" si="5"/>
        <v>0.99180452110421702</v>
      </c>
    </row>
    <row r="34" spans="1:12" x14ac:dyDescent="0.25">
      <c r="A34" s="11">
        <v>46</v>
      </c>
      <c r="B34" s="38">
        <v>46.5</v>
      </c>
      <c r="C34" s="12">
        <v>8.7696336524198772E-4</v>
      </c>
      <c r="D34" s="27">
        <f t="shared" si="0"/>
        <v>4.0778796483752426E-2</v>
      </c>
      <c r="E34" s="27">
        <f t="shared" si="1"/>
        <v>1.8962140364944877</v>
      </c>
      <c r="F34" s="39">
        <f t="shared" si="6"/>
        <v>31.5</v>
      </c>
      <c r="G34" s="62">
        <f t="shared" si="2"/>
        <v>3.9531069402727178E-3</v>
      </c>
      <c r="H34" s="12"/>
      <c r="I34" s="12">
        <f t="shared" si="3"/>
        <v>1.9634836898099624E-3</v>
      </c>
      <c r="J34" s="36">
        <f t="shared" si="4"/>
        <v>3.9528202262712354E-3</v>
      </c>
      <c r="L34" s="12">
        <f t="shared" si="5"/>
        <v>0.99411009779857729</v>
      </c>
    </row>
    <row r="35" spans="1:12" x14ac:dyDescent="0.25">
      <c r="A35" s="11">
        <v>47</v>
      </c>
      <c r="B35" s="38">
        <v>47.5</v>
      </c>
      <c r="C35" s="12">
        <v>4.1730060643928671E-4</v>
      </c>
      <c r="D35" s="27">
        <f t="shared" si="0"/>
        <v>1.9821778805866119E-2</v>
      </c>
      <c r="E35" s="27">
        <f t="shared" si="1"/>
        <v>0.94153449327864058</v>
      </c>
      <c r="F35" s="39">
        <f t="shared" si="6"/>
        <v>32.5</v>
      </c>
      <c r="G35" s="62">
        <f t="shared" si="2"/>
        <v>2.8731300339650185E-3</v>
      </c>
      <c r="H35" s="12"/>
      <c r="I35" s="12">
        <f t="shared" si="3"/>
        <v>1.4270658612651299E-3</v>
      </c>
      <c r="J35" s="36">
        <f t="shared" si="4"/>
        <v>2.8729216493649352E-3</v>
      </c>
      <c r="L35" s="12">
        <f t="shared" si="5"/>
        <v>0.99579211096253561</v>
      </c>
    </row>
    <row r="36" spans="1:12" x14ac:dyDescent="0.25">
      <c r="A36" s="11">
        <v>48</v>
      </c>
      <c r="B36" s="38">
        <v>48.5</v>
      </c>
      <c r="C36" s="12">
        <v>2.0124865643652662E-4</v>
      </c>
      <c r="D36" s="27">
        <f t="shared" si="0"/>
        <v>9.7605598371715407E-3</v>
      </c>
      <c r="E36" s="27">
        <f t="shared" si="1"/>
        <v>0.47338715210281973</v>
      </c>
      <c r="F36" s="39">
        <f t="shared" si="6"/>
        <v>33.5</v>
      </c>
      <c r="G36" s="62">
        <f t="shared" si="2"/>
        <v>2.074088179840942E-3</v>
      </c>
      <c r="H36" s="12"/>
      <c r="I36" s="12">
        <f t="shared" si="3"/>
        <v>1.0301867300519746E-3</v>
      </c>
      <c r="J36" s="36">
        <f t="shared" si="4"/>
        <v>2.0739377487672414E-3</v>
      </c>
      <c r="L36" s="12">
        <f t="shared" si="5"/>
        <v>0.99701064485705948</v>
      </c>
    </row>
    <row r="37" spans="1:12" x14ac:dyDescent="0.25">
      <c r="A37" s="11">
        <v>49</v>
      </c>
      <c r="B37" s="38">
        <v>49.5</v>
      </c>
      <c r="C37" s="12">
        <v>4.119940627077852E-4</v>
      </c>
      <c r="D37" s="27">
        <f t="shared" si="0"/>
        <v>2.0393706104035368E-2</v>
      </c>
      <c r="E37" s="27">
        <f t="shared" si="1"/>
        <v>1.0094884521497507</v>
      </c>
      <c r="F37" s="39">
        <f t="shared" si="6"/>
        <v>34.5</v>
      </c>
      <c r="G37" s="62">
        <f t="shared" si="2"/>
        <v>1.48774201410173E-3</v>
      </c>
      <c r="H37" s="12"/>
      <c r="I37" s="12">
        <f t="shared" si="3"/>
        <v>7.3895222756919425E-4</v>
      </c>
      <c r="J37" s="36">
        <f t="shared" si="4"/>
        <v>1.4876341099968099E-3</v>
      </c>
      <c r="L37" s="12">
        <f t="shared" si="5"/>
        <v>0.9978876171287685</v>
      </c>
    </row>
    <row r="38" spans="1:12" ht="13" x14ac:dyDescent="0.3">
      <c r="A38" s="13" t="s">
        <v>6</v>
      </c>
      <c r="B38" s="13"/>
      <c r="C38" s="14">
        <f>SUM(C3:C37)</f>
        <v>2.0131668252634238</v>
      </c>
      <c r="D38" s="8">
        <f>SUM(D3:D37)</f>
        <v>60.45528966837734</v>
      </c>
      <c r="E38" s="8">
        <f>SUM(E3:E37)</f>
        <v>1871.2103345948083</v>
      </c>
      <c r="F38" s="8"/>
      <c r="G38" s="15">
        <f>SUM(G3:G37)</f>
        <v>2.009762315506137</v>
      </c>
      <c r="H38" s="8"/>
      <c r="I38" s="60">
        <f>SUM(I3:I37)</f>
        <v>0.99823647235274848</v>
      </c>
      <c r="J38" s="60">
        <f>SUM(J3:J37)</f>
        <v>2.0096165499085421</v>
      </c>
    </row>
    <row r="39" spans="1:12" ht="13" x14ac:dyDescent="0.3">
      <c r="A39" s="8"/>
      <c r="B39" s="8"/>
      <c r="C39" s="8"/>
      <c r="D39" s="16">
        <f>D38/C38</f>
        <v>30.029945312886198</v>
      </c>
      <c r="E39" s="16">
        <f>E38/C38-D39^2</f>
        <v>27.688362076724047</v>
      </c>
      <c r="F39" s="8">
        <f>SQRT(E39)</f>
        <v>5.2619732113271009</v>
      </c>
      <c r="G39" s="8"/>
      <c r="H39" s="8"/>
      <c r="I39" s="8"/>
    </row>
    <row r="40" spans="1:12" x14ac:dyDescent="0.25">
      <c r="A40" s="8"/>
      <c r="B40" s="8"/>
      <c r="C40" s="8"/>
      <c r="D40" s="9" t="s">
        <v>7</v>
      </c>
      <c r="E40" s="9" t="s">
        <v>8</v>
      </c>
      <c r="F40" s="9" t="s">
        <v>41</v>
      </c>
      <c r="G40" s="8"/>
      <c r="H40" s="8"/>
      <c r="I40" s="8"/>
    </row>
    <row r="41" spans="1:12" ht="15" x14ac:dyDescent="0.3">
      <c r="A41" s="8"/>
      <c r="B41" s="8"/>
      <c r="C41" s="8"/>
      <c r="D41" s="24" t="s">
        <v>9</v>
      </c>
      <c r="E41" s="24" t="s">
        <v>21</v>
      </c>
      <c r="F41" s="8"/>
      <c r="G41" s="8"/>
      <c r="H41" s="8"/>
      <c r="I41" s="8"/>
    </row>
    <row r="42" spans="1:12" ht="13" x14ac:dyDescent="0.3">
      <c r="A42" s="8"/>
      <c r="B42" s="8"/>
      <c r="C42" s="26" t="s">
        <v>10</v>
      </c>
      <c r="D42" s="25">
        <f>D39-15</f>
        <v>15.029945312886198</v>
      </c>
      <c r="E42" s="25">
        <f>E39</f>
        <v>27.688362076724047</v>
      </c>
      <c r="F42" s="8"/>
      <c r="G42" s="8"/>
      <c r="H42" s="8">
        <f>SUMPRODUCT(F3:F37,C3:C37)/C38</f>
        <v>15.029945312886207</v>
      </c>
      <c r="I42" s="8"/>
    </row>
    <row r="43" spans="1:12" ht="13" x14ac:dyDescent="0.3">
      <c r="A43" s="13" t="s">
        <v>11</v>
      </c>
      <c r="B43" s="13"/>
      <c r="C43" s="14"/>
      <c r="D43" s="14">
        <f>D42^2/E42</f>
        <v>8.1586355842352205</v>
      </c>
      <c r="E43" s="8"/>
      <c r="F43" s="8">
        <f>D43</f>
        <v>8.1586355842352205</v>
      </c>
      <c r="G43" s="8"/>
      <c r="I43" s="8"/>
    </row>
    <row r="44" spans="1:12" ht="13" x14ac:dyDescent="0.3">
      <c r="A44" s="13" t="s">
        <v>22</v>
      </c>
      <c r="B44" s="13"/>
      <c r="C44" s="14"/>
      <c r="D44" s="14">
        <f>D42/E42</f>
        <v>0.54282536725135422</v>
      </c>
      <c r="E44" s="8"/>
      <c r="F44" s="8">
        <f>1/D44</f>
        <v>1.8422130952788578</v>
      </c>
      <c r="G44" s="18"/>
      <c r="I44" s="19"/>
    </row>
    <row r="45" spans="1:12" ht="13" x14ac:dyDescent="0.3">
      <c r="A45" s="13" t="s">
        <v>23</v>
      </c>
      <c r="B45" s="13"/>
      <c r="C45" s="8"/>
      <c r="D45" s="40">
        <v>6950.0550000000003</v>
      </c>
      <c r="E45" s="8"/>
      <c r="F45" s="8"/>
      <c r="G45" s="8"/>
      <c r="H45" s="8"/>
      <c r="I45" s="8"/>
    </row>
    <row r="46" spans="1:12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12" ht="14.5" x14ac:dyDescent="0.35">
      <c r="A47" s="21" t="s">
        <v>12</v>
      </c>
    </row>
    <row r="48" spans="1:12" x14ac:dyDescent="0.25">
      <c r="A48" s="8"/>
    </row>
    <row r="49" spans="1:8" x14ac:dyDescent="0.25">
      <c r="A49" s="22" t="s">
        <v>13</v>
      </c>
    </row>
    <row r="55" spans="1:8" x14ac:dyDescent="0.25">
      <c r="A55" s="8"/>
      <c r="B55" s="8"/>
      <c r="C55" s="9" t="s">
        <v>4</v>
      </c>
      <c r="D55" s="8"/>
      <c r="E55" s="8"/>
      <c r="F55" s="8"/>
      <c r="G55" s="9" t="s">
        <v>4</v>
      </c>
    </row>
    <row r="56" spans="1:8" ht="15.5" x14ac:dyDescent="0.4">
      <c r="A56" s="10" t="s">
        <v>0</v>
      </c>
      <c r="B56" s="10" t="s">
        <v>35</v>
      </c>
      <c r="C56" s="9" t="s">
        <v>5</v>
      </c>
      <c r="D56" s="9" t="s">
        <v>39</v>
      </c>
      <c r="E56" s="9" t="s">
        <v>40</v>
      </c>
      <c r="F56" s="9" t="s">
        <v>38</v>
      </c>
      <c r="G56" s="41" t="s">
        <v>32</v>
      </c>
      <c r="H56" s="9"/>
    </row>
    <row r="57" spans="1:8" x14ac:dyDescent="0.25">
      <c r="A57" s="23" t="s">
        <v>14</v>
      </c>
      <c r="B57" s="23">
        <v>17.5</v>
      </c>
      <c r="C57" s="8">
        <v>4.8388543917936247E-2</v>
      </c>
      <c r="D57" s="27">
        <f>B57*C57</f>
        <v>0.84679951856388436</v>
      </c>
      <c r="E57" s="27">
        <f>B57*D57</f>
        <v>14.818991574867976</v>
      </c>
      <c r="F57" s="39">
        <f>B57-15</f>
        <v>2.5</v>
      </c>
      <c r="G57" s="12">
        <f>5*C$64*D$70^D$69/D$71*F57^(D$69-1)*EXP(-D$70*F57)</f>
        <v>2.9285859220211938E-3</v>
      </c>
      <c r="H57" s="8">
        <f t="shared" ref="H57:H63" si="7">$C$64*5*_xlfn.GAMMA.DIST(F57,$D$69,(1/$D$70),FALSE)</f>
        <v>2.9288181648989301E-3</v>
      </c>
    </row>
    <row r="58" spans="1:8" x14ac:dyDescent="0.25">
      <c r="A58" s="23" t="s">
        <v>15</v>
      </c>
      <c r="B58" s="23">
        <v>22.5</v>
      </c>
      <c r="C58" s="8">
        <v>0.30180424886437907</v>
      </c>
      <c r="D58" s="27">
        <f t="shared" ref="D58:D63" si="8">B58*C58</f>
        <v>6.7905955994485288</v>
      </c>
      <c r="E58" s="27">
        <f t="shared" ref="E58:E63" si="9">B58*D58</f>
        <v>152.7884009875919</v>
      </c>
      <c r="F58" s="39">
        <f t="shared" ref="F58:F63" si="10">B58-15</f>
        <v>7.5</v>
      </c>
      <c r="G58" s="12">
        <f t="shared" ref="G58:G63" si="11">5*C$64*D$70^D$69/D$71*F58^(D$69-1)*EXP(-D$70*F58)</f>
        <v>0.33287842344998081</v>
      </c>
      <c r="H58" s="8">
        <f t="shared" si="7"/>
        <v>0.33290482139255662</v>
      </c>
    </row>
    <row r="59" spans="1:8" x14ac:dyDescent="0.25">
      <c r="A59" s="23" t="s">
        <v>16</v>
      </c>
      <c r="B59" s="23">
        <v>27.5</v>
      </c>
      <c r="C59" s="8">
        <v>0.66883934725916561</v>
      </c>
      <c r="D59" s="27">
        <f t="shared" si="8"/>
        <v>18.393082049627054</v>
      </c>
      <c r="E59" s="27">
        <f t="shared" si="9"/>
        <v>505.80975636474398</v>
      </c>
      <c r="F59" s="39">
        <f t="shared" si="10"/>
        <v>12.5</v>
      </c>
      <c r="G59" s="12">
        <f t="shared" si="11"/>
        <v>0.77590143502748832</v>
      </c>
      <c r="H59" s="8">
        <f t="shared" si="7"/>
        <v>0.7759629656046686</v>
      </c>
    </row>
    <row r="60" spans="1:8" x14ac:dyDescent="0.25">
      <c r="A60" s="23" t="s">
        <v>17</v>
      </c>
      <c r="B60" s="23">
        <v>32.5</v>
      </c>
      <c r="C60" s="8">
        <v>0.63752977616924023</v>
      </c>
      <c r="D60" s="27">
        <f t="shared" si="8"/>
        <v>20.719717725500306</v>
      </c>
      <c r="E60" s="27">
        <f t="shared" si="9"/>
        <v>673.39082607875991</v>
      </c>
      <c r="F60" s="39">
        <f t="shared" si="10"/>
        <v>17.5</v>
      </c>
      <c r="G60" s="12">
        <f t="shared" si="11"/>
        <v>0.57093864654919591</v>
      </c>
      <c r="H60" s="8">
        <f t="shared" si="7"/>
        <v>0.57098392315634205</v>
      </c>
    </row>
    <row r="61" spans="1:8" x14ac:dyDescent="0.25">
      <c r="A61" s="23" t="s">
        <v>18</v>
      </c>
      <c r="B61" s="23">
        <v>37.5</v>
      </c>
      <c r="C61" s="8">
        <v>0.29188631811984334</v>
      </c>
      <c r="D61" s="27">
        <f t="shared" si="8"/>
        <v>10.945736929494124</v>
      </c>
      <c r="E61" s="27">
        <f t="shared" si="9"/>
        <v>410.46513485602969</v>
      </c>
      <c r="F61" s="39">
        <f t="shared" si="10"/>
        <v>22.5</v>
      </c>
      <c r="G61" s="12">
        <f t="shared" si="11"/>
        <v>0.23922220950881537</v>
      </c>
      <c r="H61" s="8">
        <f t="shared" si="7"/>
        <v>0.23924118032129474</v>
      </c>
    </row>
    <row r="62" spans="1:8" x14ac:dyDescent="0.25">
      <c r="A62" s="23" t="s">
        <v>19</v>
      </c>
      <c r="B62" s="23">
        <v>42.5</v>
      </c>
      <c r="C62" s="8">
        <v>6.1099793603036939E-2</v>
      </c>
      <c r="D62" s="27">
        <f t="shared" si="8"/>
        <v>2.59674122812907</v>
      </c>
      <c r="E62" s="27">
        <f t="shared" si="9"/>
        <v>110.36150219548547</v>
      </c>
      <c r="F62" s="39">
        <f t="shared" si="10"/>
        <v>27.5</v>
      </c>
      <c r="G62" s="12">
        <f t="shared" si="11"/>
        <v>7.1707763497869448E-2</v>
      </c>
      <c r="H62" s="8">
        <f t="shared" si="7"/>
        <v>7.171345007077333E-2</v>
      </c>
    </row>
    <row r="63" spans="1:8" x14ac:dyDescent="0.25">
      <c r="A63" s="23" t="s">
        <v>20</v>
      </c>
      <c r="B63" s="23">
        <v>47.5</v>
      </c>
      <c r="C63" s="8">
        <v>3.618797329821954E-3</v>
      </c>
      <c r="D63" s="27">
        <f t="shared" si="8"/>
        <v>0.17189287316654281</v>
      </c>
      <c r="E63" s="27">
        <f t="shared" si="9"/>
        <v>8.1649114754107828</v>
      </c>
      <c r="F63" s="39">
        <f t="shared" si="10"/>
        <v>32.5</v>
      </c>
      <c r="G63" s="12">
        <f t="shared" si="11"/>
        <v>1.7210159570035168E-2</v>
      </c>
      <c r="H63" s="8">
        <f t="shared" si="7"/>
        <v>1.7211524371031715E-2</v>
      </c>
    </row>
    <row r="64" spans="1:8" ht="13" x14ac:dyDescent="0.3">
      <c r="A64" s="13" t="s">
        <v>6</v>
      </c>
      <c r="C64" s="14">
        <f>SUM(C57:C63)</f>
        <v>2.0131668252634234</v>
      </c>
      <c r="D64" s="8">
        <f>SUM(D57:D63)</f>
        <v>60.464565923929513</v>
      </c>
      <c r="E64" s="8">
        <f>SUM(E57:E63)</f>
        <v>1875.7995235328895</v>
      </c>
      <c r="G64" s="15">
        <f>SUM(G57:G63)</f>
        <v>2.0107872235254063</v>
      </c>
      <c r="H64" s="15">
        <f>SUM(H57:H63)</f>
        <v>2.0109466830815661</v>
      </c>
    </row>
    <row r="65" spans="1:7" ht="13" x14ac:dyDescent="0.3">
      <c r="C65" s="14"/>
      <c r="D65" s="16">
        <f>D64/C64</f>
        <v>30.034553105661132</v>
      </c>
      <c r="E65" s="16">
        <f>E64/C64-D65^2</f>
        <v>29.691184322023901</v>
      </c>
    </row>
    <row r="66" spans="1:7" x14ac:dyDescent="0.25">
      <c r="D66" s="9" t="s">
        <v>7</v>
      </c>
      <c r="E66" s="9" t="s">
        <v>8</v>
      </c>
    </row>
    <row r="67" spans="1:7" ht="15" x14ac:dyDescent="0.3">
      <c r="D67" s="24" t="s">
        <v>9</v>
      </c>
      <c r="E67" s="24" t="s">
        <v>21</v>
      </c>
    </row>
    <row r="68" spans="1:7" ht="13" x14ac:dyDescent="0.3">
      <c r="A68" s="8"/>
      <c r="B68" s="8"/>
      <c r="C68" s="26" t="s">
        <v>10</v>
      </c>
      <c r="D68" s="17">
        <f>D65-15</f>
        <v>15.034553105661132</v>
      </c>
      <c r="E68" s="17">
        <f>E65</f>
        <v>29.691184322023901</v>
      </c>
      <c r="F68" s="9"/>
    </row>
    <row r="69" spans="1:7" ht="13" x14ac:dyDescent="0.3">
      <c r="A69" s="13" t="s">
        <v>11</v>
      </c>
      <c r="B69" s="13"/>
      <c r="C69" s="14"/>
      <c r="D69" s="14">
        <f>D68^2/E68</f>
        <v>7.6129596123680976</v>
      </c>
      <c r="E69" s="8"/>
      <c r="F69" s="9">
        <v>7.6129596123680709</v>
      </c>
      <c r="G69" s="8"/>
    </row>
    <row r="70" spans="1:7" ht="13" x14ac:dyDescent="0.3">
      <c r="A70" s="13" t="s">
        <v>22</v>
      </c>
      <c r="B70" s="13"/>
      <c r="C70" s="14"/>
      <c r="D70" s="14">
        <f>D68/E68</f>
        <v>0.50636421042016222</v>
      </c>
      <c r="E70" s="8"/>
      <c r="F70" s="9"/>
    </row>
    <row r="71" spans="1:7" ht="13" x14ac:dyDescent="0.3">
      <c r="A71" s="13" t="s">
        <v>23</v>
      </c>
      <c r="B71" s="13"/>
      <c r="C71" s="8"/>
      <c r="D71" s="20">
        <v>2333.8009999999999</v>
      </c>
      <c r="E71" s="8"/>
      <c r="F71" s="9"/>
    </row>
    <row r="73" spans="1:7" x14ac:dyDescent="0.25">
      <c r="A73" s="5" t="s">
        <v>57</v>
      </c>
    </row>
    <row r="74" spans="1:7" ht="15.5" x14ac:dyDescent="0.4">
      <c r="A74" s="64" t="s">
        <v>58</v>
      </c>
      <c r="B74" s="10" t="s">
        <v>38</v>
      </c>
      <c r="C74" s="5" t="s">
        <v>56</v>
      </c>
    </row>
    <row r="75" spans="1:7" ht="13" x14ac:dyDescent="0.3">
      <c r="A75" s="65">
        <v>19</v>
      </c>
      <c r="B75" s="39">
        <f>A75-15</f>
        <v>4</v>
      </c>
      <c r="C75" s="8">
        <f>$C$64*5*_xlfn.GAMMA.DIST(B75,$D$69,(1/$D$70),FALSE)</f>
        <v>3.0666402898474384E-2</v>
      </c>
    </row>
    <row r="76" spans="1:7" ht="13" x14ac:dyDescent="0.3">
      <c r="A76" s="65">
        <v>22.4</v>
      </c>
      <c r="B76" s="39">
        <f t="shared" ref="B76:B81" si="12">A76-15</f>
        <v>7.3999999999999986</v>
      </c>
      <c r="C76" s="8">
        <f t="shared" ref="C76:C81" si="13">$C$64*5*_xlfn.GAMMA.DIST(B76,$D$69,(1/$D$70),FALSE)</f>
        <v>0.3204502881619134</v>
      </c>
    </row>
    <row r="77" spans="1:7" ht="13" x14ac:dyDescent="0.3">
      <c r="A77" s="65">
        <v>25.5</v>
      </c>
      <c r="B77" s="39">
        <f t="shared" si="12"/>
        <v>10.5</v>
      </c>
      <c r="C77" s="8">
        <f t="shared" si="13"/>
        <v>0.67441207253759239</v>
      </c>
    </row>
    <row r="78" spans="1:7" ht="13" x14ac:dyDescent="0.3">
      <c r="A78" s="65">
        <v>31.5</v>
      </c>
      <c r="B78" s="39">
        <f t="shared" si="12"/>
        <v>16.5</v>
      </c>
      <c r="C78" s="8">
        <f t="shared" si="13"/>
        <v>0.64201740496733462</v>
      </c>
    </row>
    <row r="79" spans="1:7" ht="13" x14ac:dyDescent="0.3">
      <c r="A79" s="65">
        <v>36.5</v>
      </c>
      <c r="B79" s="39">
        <f t="shared" si="12"/>
        <v>21.5</v>
      </c>
      <c r="C79" s="8">
        <f t="shared" si="13"/>
        <v>0.29388705667510823</v>
      </c>
    </row>
    <row r="80" spans="1:7" ht="13" x14ac:dyDescent="0.3">
      <c r="A80" s="65">
        <v>43</v>
      </c>
      <c r="B80" s="39">
        <f t="shared" si="12"/>
        <v>28</v>
      </c>
      <c r="C80" s="8">
        <f t="shared" si="13"/>
        <v>6.2718211632507154E-2</v>
      </c>
    </row>
    <row r="81" spans="1:3" ht="13" x14ac:dyDescent="0.3">
      <c r="A81" s="65">
        <v>48.5</v>
      </c>
      <c r="B81" s="39">
        <f t="shared" si="12"/>
        <v>33.5</v>
      </c>
      <c r="C81" s="8">
        <f t="shared" si="13"/>
        <v>1.2674891925560872E-2</v>
      </c>
    </row>
    <row r="82" spans="1:3" x14ac:dyDescent="0.25">
      <c r="C82" s="8">
        <f>SUM(C75:C81)</f>
        <v>2.0368263287984911</v>
      </c>
    </row>
  </sheetData>
  <hyperlinks>
    <hyperlink ref="A47" r:id="rId1" xr:uid="{00000000-0004-0000-0100-000000000000}"/>
    <hyperlink ref="A49" r:id="rId2" xr:uid="{00000000-0004-0000-0100-000001000000}"/>
  </hyperlinks>
  <pageMargins left="0.7" right="0.7" top="0.75" bottom="0.75" header="0.3" footer="0.3"/>
  <drawing r:id="rId3"/>
  <legacyDrawing r:id="rId4"/>
  <oleObjects>
    <mc:AlternateContent xmlns:mc="http://schemas.openxmlformats.org/markup-compatibility/2006">
      <mc:Choice Requires="x14">
        <oleObject progId="Equation.3" shapeId="2051" r:id="rId5">
          <objectPr defaultSize="0" autoPict="0" r:id="rId6">
            <anchor moveWithCells="1" sizeWithCells="1">
              <from>
                <xdr:col>13</xdr:col>
                <xdr:colOff>412750</xdr:colOff>
                <xdr:row>23</xdr:row>
                <xdr:rowOff>114300</xdr:rowOff>
              </from>
              <to>
                <xdr:col>19</xdr:col>
                <xdr:colOff>539750</xdr:colOff>
                <xdr:row>29</xdr:row>
                <xdr:rowOff>6350</xdr:rowOff>
              </to>
            </anchor>
          </objectPr>
        </oleObject>
      </mc:Choice>
      <mc:Fallback>
        <oleObject progId="Equation.3" shapeId="2051" r:id="rId5"/>
      </mc:Fallback>
    </mc:AlternateContent>
    <mc:AlternateContent xmlns:mc="http://schemas.openxmlformats.org/markup-compatibility/2006">
      <mc:Choice Requires="x14">
        <oleObject progId="Equation.3" shapeId="2052" r:id="rId7">
          <objectPr defaultSize="0" autoPict="0" r:id="rId6">
            <anchor moveWithCells="1" sizeWithCells="1">
              <from>
                <xdr:col>8</xdr:col>
                <xdr:colOff>50800</xdr:colOff>
                <xdr:row>69</xdr:row>
                <xdr:rowOff>31750</xdr:rowOff>
              </from>
              <to>
                <xdr:col>14</xdr:col>
                <xdr:colOff>171450</xdr:colOff>
                <xdr:row>74</xdr:row>
                <xdr:rowOff>31750</xdr:rowOff>
              </to>
            </anchor>
          </objectPr>
        </oleObject>
      </mc:Choice>
      <mc:Fallback>
        <oleObject progId="Equation.3" shapeId="2052" r:id="rId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9"/>
  <sheetViews>
    <sheetView workbookViewId="0">
      <selection activeCell="G3" sqref="G3"/>
    </sheetView>
  </sheetViews>
  <sheetFormatPr baseColWidth="10" defaultColWidth="11.453125" defaultRowHeight="12.5" x14ac:dyDescent="0.25"/>
  <cols>
    <col min="1" max="1" width="11.453125" style="5"/>
    <col min="2" max="2" width="9.453125" style="5" customWidth="1"/>
    <col min="3" max="5" width="11.54296875" style="5" bestFit="1" customWidth="1"/>
    <col min="6" max="6" width="11.453125" style="5"/>
    <col min="7" max="7" width="11.54296875" style="5" bestFit="1" customWidth="1"/>
    <col min="8" max="8" width="11.453125" style="5"/>
    <col min="9" max="9" width="11.54296875" style="5" bestFit="1" customWidth="1"/>
    <col min="10" max="18" width="11.453125" style="5"/>
    <col min="19" max="22" width="12.08984375" style="5" bestFit="1" customWidth="1"/>
    <col min="23" max="16384" width="11.453125" style="5"/>
  </cols>
  <sheetData>
    <row r="1" spans="1:21" ht="13" x14ac:dyDescent="0.3">
      <c r="A1" s="16" t="s">
        <v>24</v>
      </c>
      <c r="B1" s="16"/>
      <c r="C1" s="9" t="s">
        <v>4</v>
      </c>
      <c r="D1" s="8"/>
      <c r="E1" s="8"/>
      <c r="F1" s="8"/>
      <c r="G1" s="9" t="s">
        <v>4</v>
      </c>
      <c r="H1" s="8"/>
      <c r="I1" s="37"/>
      <c r="R1" s="50" t="s">
        <v>50</v>
      </c>
    </row>
    <row r="2" spans="1:21" ht="13.15" customHeight="1" x14ac:dyDescent="0.4">
      <c r="A2" s="10" t="s">
        <v>0</v>
      </c>
      <c r="B2" s="10" t="s">
        <v>35</v>
      </c>
      <c r="C2" s="9" t="s">
        <v>5</v>
      </c>
      <c r="D2" s="9" t="s">
        <v>39</v>
      </c>
      <c r="E2" s="9" t="s">
        <v>40</v>
      </c>
      <c r="F2" s="9" t="s">
        <v>38</v>
      </c>
      <c r="G2" s="42" t="s">
        <v>34</v>
      </c>
      <c r="H2" s="8"/>
      <c r="R2" s="49"/>
      <c r="S2" s="45" t="s">
        <v>51</v>
      </c>
      <c r="T2" s="46"/>
      <c r="U2" s="47" t="s">
        <v>52</v>
      </c>
    </row>
    <row r="3" spans="1:21" x14ac:dyDescent="0.25">
      <c r="A3" s="11">
        <v>15</v>
      </c>
      <c r="B3" s="38">
        <v>15.5</v>
      </c>
      <c r="C3" s="12">
        <v>1.3612130955820828E-3</v>
      </c>
      <c r="D3" s="27">
        <f>B3*C3</f>
        <v>2.1098802981522283E-2</v>
      </c>
      <c r="E3" s="27">
        <f>B3*D3</f>
        <v>0.32703144621359537</v>
      </c>
      <c r="F3" s="39">
        <f>B3-15</f>
        <v>0.5</v>
      </c>
      <c r="G3" s="12">
        <f>C$38*D$48/(D$46*D$47)*F3^(D$43-1)*(50-B3)^(D$44-1)/35^(D$43+D$44-1)</f>
        <v>3.0165851848013288E-5</v>
      </c>
      <c r="H3" s="12">
        <f t="shared" ref="H3:H5" si="0">D$48/(D$46*D$47)*F3^(D$43-1)*(50-B3)^(D$44-1)/35^(D$43+D$44-1)</f>
        <v>1.4984278237381578E-5</v>
      </c>
      <c r="R3" s="48" t="s">
        <v>42</v>
      </c>
      <c r="S3" s="59" t="s">
        <v>43</v>
      </c>
      <c r="T3" s="59" t="s">
        <v>44</v>
      </c>
      <c r="U3" s="48" t="s">
        <v>53</v>
      </c>
    </row>
    <row r="4" spans="1:21" x14ac:dyDescent="0.25">
      <c r="A4" s="11">
        <v>16</v>
      </c>
      <c r="B4" s="38">
        <v>16.5</v>
      </c>
      <c r="C4" s="12">
        <v>2.9526766957771729E-3</v>
      </c>
      <c r="D4" s="27">
        <f t="shared" ref="D4:D37" si="1">B4*C4</f>
        <v>4.8719165480323352E-2</v>
      </c>
      <c r="E4" s="27">
        <f t="shared" ref="E4:E37" si="2">B4*D4</f>
        <v>0.80386623042533534</v>
      </c>
      <c r="F4" s="39">
        <f t="shared" ref="F4:F37" si="3">B4-15</f>
        <v>1.5</v>
      </c>
      <c r="G4" s="12">
        <f t="shared" ref="G4:G37" si="4">C$38*D$48/(D$46*D$47)*F4^(D$43-1)*(50-B4)^(D$44-1)/35^(D$43+D$44-1)</f>
        <v>9.1117827639357958E-4</v>
      </c>
      <c r="H4" s="12">
        <f t="shared" si="0"/>
        <v>4.5260942360022822E-4</v>
      </c>
      <c r="R4" s="51">
        <f t="shared" ref="R4:R21" si="5">(B3-15)/(50-15)</f>
        <v>1.4285714285714285E-2</v>
      </c>
      <c r="S4" s="54">
        <f>_xlfn.BETA.DIST(R4,$D$43,$D$44,TRUE)</f>
        <v>1.7958207679167136E-6</v>
      </c>
      <c r="T4" s="54">
        <f>S4</f>
        <v>1.7958207679167136E-6</v>
      </c>
      <c r="U4" s="54">
        <f>T4*$C$38</f>
        <v>3.6152867940890139E-6</v>
      </c>
    </row>
    <row r="5" spans="1:21" x14ac:dyDescent="0.25">
      <c r="A5" s="11">
        <v>17</v>
      </c>
      <c r="B5" s="38">
        <v>17.5</v>
      </c>
      <c r="C5" s="12">
        <v>6.7560996693536183E-3</v>
      </c>
      <c r="D5" s="27">
        <f t="shared" si="1"/>
        <v>0.11823174421368832</v>
      </c>
      <c r="E5" s="27">
        <f t="shared" si="2"/>
        <v>2.0690555237395456</v>
      </c>
      <c r="F5" s="39">
        <f t="shared" si="3"/>
        <v>2.5</v>
      </c>
      <c r="G5" s="12">
        <f t="shared" si="4"/>
        <v>4.1160407047553674E-3</v>
      </c>
      <c r="H5" s="12">
        <f t="shared" si="0"/>
        <v>2.0445601691339121E-3</v>
      </c>
      <c r="R5" s="52">
        <f t="shared" si="5"/>
        <v>4.2857142857142858E-2</v>
      </c>
      <c r="S5" s="55">
        <f t="shared" ref="S5:S36" si="6">_xlfn.BETA.DIST(R5,$D$43,$D$44,TRUE)</f>
        <v>1.671784187674938E-4</v>
      </c>
      <c r="T5" s="55">
        <f>S5-S4</f>
        <v>1.653825979995771E-4</v>
      </c>
      <c r="U5" s="55">
        <f t="shared" ref="U5:U37" si="7">T5*$C$38</f>
        <v>3.329427597686257E-4</v>
      </c>
    </row>
    <row r="6" spans="1:21" x14ac:dyDescent="0.25">
      <c r="A6" s="11">
        <v>18</v>
      </c>
      <c r="B6" s="38">
        <v>18.5</v>
      </c>
      <c r="C6" s="12">
        <v>1.3237440744125105E-2</v>
      </c>
      <c r="D6" s="27">
        <f t="shared" si="1"/>
        <v>0.24489265376631444</v>
      </c>
      <c r="E6" s="27">
        <f t="shared" si="2"/>
        <v>4.5305140946768176</v>
      </c>
      <c r="F6" s="39">
        <f t="shared" si="3"/>
        <v>3.5</v>
      </c>
      <c r="G6" s="12">
        <f t="shared" si="4"/>
        <v>1.0548911826705932E-2</v>
      </c>
      <c r="H6" s="12">
        <f>D$48/(D$46*D$47)*F6^(D$43-1)*(50-B6)^(D$44-1)/35^(D$43+D$44-1)</f>
        <v>5.2399591004215961E-3</v>
      </c>
      <c r="R6" s="52">
        <f t="shared" si="5"/>
        <v>7.1428571428571425E-2</v>
      </c>
      <c r="S6" s="55">
        <f t="shared" si="6"/>
        <v>1.295497010065025E-3</v>
      </c>
      <c r="T6" s="55">
        <f t="shared" ref="T6:T36" si="8">S6-S5</f>
        <v>1.1283185912975312E-3</v>
      </c>
      <c r="U6" s="55">
        <f t="shared" si="7"/>
        <v>2.2714935563281496E-3</v>
      </c>
    </row>
    <row r="7" spans="1:21" x14ac:dyDescent="0.25">
      <c r="A7" s="11">
        <v>19</v>
      </c>
      <c r="B7" s="38">
        <v>19.5</v>
      </c>
      <c r="C7" s="12">
        <v>2.4081113713098266E-2</v>
      </c>
      <c r="D7" s="27">
        <f t="shared" si="1"/>
        <v>0.46958171740541615</v>
      </c>
      <c r="E7" s="27">
        <f t="shared" si="2"/>
        <v>9.156843489405615</v>
      </c>
      <c r="F7" s="39">
        <f t="shared" si="3"/>
        <v>4.5</v>
      </c>
      <c r="G7" s="12">
        <f t="shared" si="4"/>
        <v>2.0446459695174973E-2</v>
      </c>
      <c r="H7" s="12">
        <f t="shared" ref="H7:H37" si="9">D$48/(D$46*D$47)*F7^(D$43-1)*(50-B7)^(D$44-1)/35^(D$43+D$44-1)</f>
        <v>1.0156366297412804E-2</v>
      </c>
      <c r="R7" s="52">
        <f t="shared" si="5"/>
        <v>0.1</v>
      </c>
      <c r="S7" s="55">
        <f t="shared" si="6"/>
        <v>4.7943657483341803E-3</v>
      </c>
      <c r="T7" s="55">
        <f t="shared" si="8"/>
        <v>3.4988687382691555E-3</v>
      </c>
      <c r="U7" s="55">
        <f t="shared" si="7"/>
        <v>7.0438064698347567E-3</v>
      </c>
    </row>
    <row r="8" spans="1:21" x14ac:dyDescent="0.25">
      <c r="A8" s="11">
        <v>20</v>
      </c>
      <c r="B8" s="38">
        <v>20.5</v>
      </c>
      <c r="C8" s="12">
        <v>3.4254313560280553E-2</v>
      </c>
      <c r="D8" s="27">
        <f t="shared" si="1"/>
        <v>0.70221342798575137</v>
      </c>
      <c r="E8" s="27">
        <f t="shared" si="2"/>
        <v>14.395375273707904</v>
      </c>
      <c r="F8" s="39">
        <f t="shared" si="3"/>
        <v>5.5</v>
      </c>
      <c r="G8" s="12">
        <f t="shared" si="4"/>
        <v>3.3490893264995714E-2</v>
      </c>
      <c r="H8" s="12">
        <f t="shared" si="9"/>
        <v>1.6635925470614391E-2</v>
      </c>
      <c r="R8" s="52">
        <f t="shared" si="5"/>
        <v>0.12857142857142856</v>
      </c>
      <c r="S8" s="55">
        <f t="shared" si="6"/>
        <v>1.2351743347882244E-2</v>
      </c>
      <c r="T8" s="55">
        <f t="shared" si="8"/>
        <v>7.5573775995480636E-3</v>
      </c>
      <c r="U8" s="55">
        <f t="shared" si="7"/>
        <v>1.5214261869399091E-2</v>
      </c>
    </row>
    <row r="9" spans="1:21" x14ac:dyDescent="0.25">
      <c r="A9" s="11">
        <v>21</v>
      </c>
      <c r="B9" s="38">
        <v>21.5</v>
      </c>
      <c r="C9" s="12">
        <v>4.5648053356578851E-2</v>
      </c>
      <c r="D9" s="27">
        <f t="shared" si="1"/>
        <v>0.98143314716644525</v>
      </c>
      <c r="E9" s="27">
        <f t="shared" si="2"/>
        <v>21.100812664078575</v>
      </c>
      <c r="F9" s="39">
        <f t="shared" si="3"/>
        <v>6.5</v>
      </c>
      <c r="G9" s="12">
        <f t="shared" si="4"/>
        <v>4.8959608002658521E-2</v>
      </c>
      <c r="H9" s="12">
        <f t="shared" si="9"/>
        <v>2.4319697398278023E-2</v>
      </c>
      <c r="R9" s="52">
        <f t="shared" si="5"/>
        <v>0.15714285714285714</v>
      </c>
      <c r="S9" s="55">
        <f t="shared" si="6"/>
        <v>2.5629590616969535E-2</v>
      </c>
      <c r="T9" s="55">
        <f t="shared" si="8"/>
        <v>1.3277847269087291E-2</v>
      </c>
      <c r="U9" s="55">
        <f t="shared" si="7"/>
        <v>2.6730521633041085E-2</v>
      </c>
    </row>
    <row r="10" spans="1:21" x14ac:dyDescent="0.25">
      <c r="A10" s="11">
        <v>22</v>
      </c>
      <c r="B10" s="38">
        <v>22.5</v>
      </c>
      <c r="C10" s="12">
        <v>5.8466301045269536E-2</v>
      </c>
      <c r="D10" s="27">
        <f t="shared" si="1"/>
        <v>1.3154917735185645</v>
      </c>
      <c r="E10" s="27">
        <f t="shared" si="2"/>
        <v>29.598564904167702</v>
      </c>
      <c r="F10" s="39">
        <f t="shared" si="3"/>
        <v>7.5</v>
      </c>
      <c r="G10" s="12">
        <f t="shared" si="4"/>
        <v>6.5875573788168523E-2</v>
      </c>
      <c r="H10" s="12">
        <f t="shared" si="9"/>
        <v>3.2722362082212769E-2</v>
      </c>
      <c r="R10" s="52">
        <f t="shared" si="5"/>
        <v>0.18571428571428572</v>
      </c>
      <c r="S10" s="55">
        <f t="shared" si="6"/>
        <v>4.6025113830033305E-2</v>
      </c>
      <c r="T10" s="55">
        <f t="shared" si="8"/>
        <v>2.039552321306377E-2</v>
      </c>
      <c r="U10" s="55">
        <f t="shared" si="7"/>
        <v>4.1059590716430054E-2</v>
      </c>
    </row>
    <row r="11" spans="1:21" x14ac:dyDescent="0.25">
      <c r="A11" s="11">
        <v>23</v>
      </c>
      <c r="B11" s="38">
        <v>23.5</v>
      </c>
      <c r="C11" s="12">
        <v>7.3929400178342944E-2</v>
      </c>
      <c r="D11" s="27">
        <f t="shared" si="1"/>
        <v>1.7373409041910592</v>
      </c>
      <c r="E11" s="27">
        <f t="shared" si="2"/>
        <v>40.827511248489891</v>
      </c>
      <c r="F11" s="39">
        <f t="shared" si="3"/>
        <v>8.5</v>
      </c>
      <c r="G11" s="12">
        <f t="shared" si="4"/>
        <v>8.3143890973362319E-2</v>
      </c>
      <c r="H11" s="12">
        <f t="shared" si="9"/>
        <v>4.130005021440928E-2</v>
      </c>
      <c r="R11" s="52">
        <f t="shared" si="5"/>
        <v>0.21428571428571427</v>
      </c>
      <c r="S11" s="55">
        <f t="shared" si="6"/>
        <v>7.4507396395238706E-2</v>
      </c>
      <c r="T11" s="55">
        <f t="shared" si="8"/>
        <v>2.8482282565205401E-2</v>
      </c>
      <c r="U11" s="55">
        <f t="shared" si="7"/>
        <v>5.7339586368050324E-2</v>
      </c>
    </row>
    <row r="12" spans="1:21" x14ac:dyDescent="0.25">
      <c r="A12" s="11">
        <v>24</v>
      </c>
      <c r="B12" s="38">
        <v>24.5</v>
      </c>
      <c r="C12" s="12">
        <v>8.950618072390723E-2</v>
      </c>
      <c r="D12" s="27">
        <f t="shared" si="1"/>
        <v>2.1929014277357273</v>
      </c>
      <c r="E12" s="27">
        <f t="shared" si="2"/>
        <v>53.726084979525318</v>
      </c>
      <c r="F12" s="39">
        <f t="shared" si="3"/>
        <v>9.5</v>
      </c>
      <c r="G12" s="12">
        <f t="shared" si="4"/>
        <v>9.9667946400324045E-2</v>
      </c>
      <c r="H12" s="12">
        <f t="shared" si="9"/>
        <v>4.9508041335462834E-2</v>
      </c>
      <c r="R12" s="52">
        <f t="shared" si="5"/>
        <v>0.24285714285714285</v>
      </c>
      <c r="S12" s="55">
        <f t="shared" si="6"/>
        <v>0.1115256850603818</v>
      </c>
      <c r="T12" s="55">
        <f t="shared" si="8"/>
        <v>3.701828866514309E-2</v>
      </c>
      <c r="U12" s="55">
        <f t="shared" si="7"/>
        <v>7.4523990668691101E-2</v>
      </c>
    </row>
    <row r="13" spans="1:21" x14ac:dyDescent="0.25">
      <c r="A13" s="11">
        <v>25</v>
      </c>
      <c r="B13" s="38">
        <v>25.5</v>
      </c>
      <c r="C13" s="12">
        <v>0.10820406337352576</v>
      </c>
      <c r="D13" s="27">
        <f t="shared" si="1"/>
        <v>2.7592036160249069</v>
      </c>
      <c r="E13" s="27">
        <f t="shared" si="2"/>
        <v>70.359692208635124</v>
      </c>
      <c r="F13" s="39">
        <f t="shared" si="3"/>
        <v>10.5</v>
      </c>
      <c r="G13" s="12">
        <f t="shared" si="4"/>
        <v>0.11444249166943871</v>
      </c>
      <c r="H13" s="12">
        <f t="shared" si="9"/>
        <v>5.6846998586152359E-2</v>
      </c>
      <c r="R13" s="52">
        <f t="shared" si="5"/>
        <v>0.27142857142857141</v>
      </c>
      <c r="S13" s="55">
        <f t="shared" si="6"/>
        <v>0.15698061169442717</v>
      </c>
      <c r="T13" s="55">
        <f t="shared" si="8"/>
        <v>4.5454926634045378E-2</v>
      </c>
      <c r="U13" s="55">
        <f t="shared" si="7"/>
        <v>9.1508350344442976E-2</v>
      </c>
    </row>
    <row r="14" spans="1:21" x14ac:dyDescent="0.25">
      <c r="A14" s="11">
        <v>26</v>
      </c>
      <c r="B14" s="38">
        <v>26.5</v>
      </c>
      <c r="C14" s="12">
        <v>0.1234393881020724</v>
      </c>
      <c r="D14" s="27">
        <f t="shared" si="1"/>
        <v>3.2711437847049187</v>
      </c>
      <c r="E14" s="27">
        <f t="shared" si="2"/>
        <v>86.685310294680349</v>
      </c>
      <c r="F14" s="39">
        <f t="shared" si="3"/>
        <v>11.5</v>
      </c>
      <c r="G14" s="12">
        <f t="shared" si="4"/>
        <v>0.12662314383493783</v>
      </c>
      <c r="H14" s="12">
        <f t="shared" si="9"/>
        <v>6.2897491775610367E-2</v>
      </c>
      <c r="R14" s="52">
        <f t="shared" si="5"/>
        <v>0.3</v>
      </c>
      <c r="S14" s="55">
        <f t="shared" si="6"/>
        <v>0.21024743674804289</v>
      </c>
      <c r="T14" s="55">
        <f t="shared" si="8"/>
        <v>5.3266825053615713E-2</v>
      </c>
      <c r="U14" s="55">
        <f t="shared" si="7"/>
        <v>0.10723500508504975</v>
      </c>
    </row>
    <row r="15" spans="1:21" x14ac:dyDescent="0.25">
      <c r="A15" s="11">
        <v>27</v>
      </c>
      <c r="B15" s="38">
        <v>27.5</v>
      </c>
      <c r="C15" s="12">
        <v>0.13814579856459208</v>
      </c>
      <c r="D15" s="27">
        <f t="shared" si="1"/>
        <v>3.7990094605262823</v>
      </c>
      <c r="E15" s="27">
        <f t="shared" si="2"/>
        <v>104.47276016447276</v>
      </c>
      <c r="F15" s="39">
        <f t="shared" si="3"/>
        <v>12.5</v>
      </c>
      <c r="G15" s="12">
        <f t="shared" si="4"/>
        <v>0.13557313606515595</v>
      </c>
      <c r="H15" s="12">
        <f t="shared" si="9"/>
        <v>6.7343219828498876E-2</v>
      </c>
      <c r="R15" s="52">
        <f t="shared" si="5"/>
        <v>0.32857142857142857</v>
      </c>
      <c r="S15" s="55">
        <f t="shared" si="6"/>
        <v>0.27023965869456162</v>
      </c>
      <c r="T15" s="55">
        <f t="shared" si="8"/>
        <v>5.9992221946518737E-2</v>
      </c>
      <c r="U15" s="55">
        <f t="shared" si="7"/>
        <v>0.12077435099657183</v>
      </c>
    </row>
    <row r="16" spans="1:21" x14ac:dyDescent="0.25">
      <c r="A16" s="11">
        <v>28</v>
      </c>
      <c r="B16" s="38">
        <v>28.5</v>
      </c>
      <c r="C16" s="12">
        <v>0.14740084236827947</v>
      </c>
      <c r="D16" s="27">
        <f t="shared" si="1"/>
        <v>4.2009240074959644</v>
      </c>
      <c r="E16" s="27">
        <f t="shared" si="2"/>
        <v>119.72633421363498</v>
      </c>
      <c r="F16" s="39">
        <f t="shared" si="3"/>
        <v>13.5</v>
      </c>
      <c r="G16" s="12">
        <f t="shared" si="4"/>
        <v>0.14088899525718676</v>
      </c>
      <c r="H16" s="12">
        <f t="shared" si="9"/>
        <v>6.9983765621982857E-2</v>
      </c>
      <c r="R16" s="52">
        <f t="shared" si="5"/>
        <v>0.35714285714285715</v>
      </c>
      <c r="S16" s="55">
        <f t="shared" si="6"/>
        <v>0.33550144054771291</v>
      </c>
      <c r="T16" s="55">
        <f t="shared" si="8"/>
        <v>6.5261781853151291E-2</v>
      </c>
      <c r="U16" s="55">
        <f t="shared" si="7"/>
        <v>0.1313828541843427</v>
      </c>
    </row>
    <row r="17" spans="1:21" x14ac:dyDescent="0.25">
      <c r="A17" s="11">
        <v>29</v>
      </c>
      <c r="B17" s="38">
        <v>29.5</v>
      </c>
      <c r="C17" s="12">
        <v>0.15164925485069577</v>
      </c>
      <c r="D17" s="27">
        <f t="shared" si="1"/>
        <v>4.4736530180955256</v>
      </c>
      <c r="E17" s="27">
        <f t="shared" si="2"/>
        <v>131.97276403381801</v>
      </c>
      <c r="F17" s="39">
        <f t="shared" si="3"/>
        <v>14.5</v>
      </c>
      <c r="G17" s="12">
        <f t="shared" si="4"/>
        <v>0.14240737814023008</v>
      </c>
      <c r="H17" s="12">
        <f t="shared" si="9"/>
        <v>7.0737991682132934E-2</v>
      </c>
      <c r="R17" s="52">
        <f t="shared" si="5"/>
        <v>0.38571428571428573</v>
      </c>
      <c r="S17" s="55">
        <f t="shared" si="6"/>
        <v>0.40431794166979135</v>
      </c>
      <c r="T17" s="55">
        <f t="shared" si="8"/>
        <v>6.8816501122078433E-2</v>
      </c>
      <c r="U17" s="55">
        <f t="shared" si="7"/>
        <v>0.13853909708967149</v>
      </c>
    </row>
    <row r="18" spans="1:21" x14ac:dyDescent="0.25">
      <c r="A18" s="11">
        <v>30</v>
      </c>
      <c r="B18" s="38">
        <v>30.5</v>
      </c>
      <c r="C18" s="12">
        <v>0.15016069522944989</v>
      </c>
      <c r="D18" s="27">
        <f t="shared" si="1"/>
        <v>4.5799012044982215</v>
      </c>
      <c r="E18" s="27">
        <f t="shared" si="2"/>
        <v>139.68698673719575</v>
      </c>
      <c r="F18" s="39">
        <f t="shared" si="3"/>
        <v>15.5</v>
      </c>
      <c r="G18" s="12">
        <f t="shared" si="4"/>
        <v>0.14019565573358242</v>
      </c>
      <c r="H18" s="12">
        <f t="shared" si="9"/>
        <v>6.963936320341349E-2</v>
      </c>
      <c r="R18" s="52">
        <f t="shared" si="5"/>
        <v>0.41428571428571431</v>
      </c>
      <c r="S18" s="55">
        <f t="shared" si="6"/>
        <v>0.47483362352779268</v>
      </c>
      <c r="T18" s="55">
        <f t="shared" si="8"/>
        <v>7.0515681858001333E-2</v>
      </c>
      <c r="U18" s="55">
        <f t="shared" si="7"/>
        <v>0.14195983137735815</v>
      </c>
    </row>
    <row r="19" spans="1:21" x14ac:dyDescent="0.25">
      <c r="A19" s="11">
        <v>31</v>
      </c>
      <c r="B19" s="38">
        <v>31.5</v>
      </c>
      <c r="C19" s="12">
        <v>0.14161067484011428</v>
      </c>
      <c r="D19" s="27">
        <f t="shared" si="1"/>
        <v>4.4607362574635996</v>
      </c>
      <c r="E19" s="27">
        <f t="shared" si="2"/>
        <v>140.51319211010338</v>
      </c>
      <c r="F19" s="39">
        <f t="shared" si="3"/>
        <v>16.5</v>
      </c>
      <c r="G19" s="12">
        <f t="shared" si="4"/>
        <v>0.13452905528150172</v>
      </c>
      <c r="H19" s="12">
        <f t="shared" si="9"/>
        <v>6.6824593766042481E-2</v>
      </c>
      <c r="R19" s="52">
        <f t="shared" si="5"/>
        <v>0.44285714285714284</v>
      </c>
      <c r="S19" s="55">
        <f t="shared" si="6"/>
        <v>0.54516980219516853</v>
      </c>
      <c r="T19" s="55">
        <f t="shared" si="8"/>
        <v>7.0336178667375848E-2</v>
      </c>
      <c r="U19" s="55">
        <f t="shared" si="7"/>
        <v>0.14159846150896199</v>
      </c>
    </row>
    <row r="20" spans="1:21" x14ac:dyDescent="0.25">
      <c r="A20" s="11">
        <v>32</v>
      </c>
      <c r="B20" s="38">
        <v>32.5</v>
      </c>
      <c r="C20" s="12">
        <v>0.1304385112343491</v>
      </c>
      <c r="D20" s="27">
        <f t="shared" si="1"/>
        <v>4.2392516151163457</v>
      </c>
      <c r="E20" s="27">
        <f t="shared" si="2"/>
        <v>137.77567749128124</v>
      </c>
      <c r="F20" s="39">
        <f t="shared" si="3"/>
        <v>17.5</v>
      </c>
      <c r="G20" s="12">
        <f t="shared" si="4"/>
        <v>0.12585728387272138</v>
      </c>
      <c r="H20" s="12">
        <f t="shared" si="9"/>
        <v>6.2517066292433518E-2</v>
      </c>
      <c r="R20" s="52">
        <f t="shared" si="5"/>
        <v>0.47142857142857142</v>
      </c>
      <c r="S20" s="55">
        <f t="shared" si="6"/>
        <v>0.61353406617647499</v>
      </c>
      <c r="T20" s="55">
        <f t="shared" si="8"/>
        <v>6.8364263981306461E-2</v>
      </c>
      <c r="U20" s="55">
        <f t="shared" si="7"/>
        <v>0.13762866828071738</v>
      </c>
    </row>
    <row r="21" spans="1:21" x14ac:dyDescent="0.25">
      <c r="A21" s="11">
        <v>33</v>
      </c>
      <c r="B21" s="38">
        <v>33.5</v>
      </c>
      <c r="C21" s="12">
        <v>0.11578762757606138</v>
      </c>
      <c r="D21" s="27">
        <f t="shared" si="1"/>
        <v>3.8788855237980564</v>
      </c>
      <c r="E21" s="27">
        <f t="shared" si="2"/>
        <v>129.9426650472349</v>
      </c>
      <c r="F21" s="39">
        <f t="shared" si="3"/>
        <v>18.5</v>
      </c>
      <c r="G21" s="12">
        <f t="shared" si="4"/>
        <v>0.11476359103538622</v>
      </c>
      <c r="H21" s="12">
        <f t="shared" si="9"/>
        <v>5.7006498217240069E-2</v>
      </c>
      <c r="R21" s="52">
        <f t="shared" si="5"/>
        <v>0.5</v>
      </c>
      <c r="S21" s="55">
        <f t="shared" si="6"/>
        <v>0.67831560581614203</v>
      </c>
      <c r="T21" s="55">
        <f t="shared" si="8"/>
        <v>6.4781539639667041E-2</v>
      </c>
      <c r="U21" s="55">
        <f t="shared" si="7"/>
        <v>0.13041604649206515</v>
      </c>
    </row>
    <row r="22" spans="1:21" x14ac:dyDescent="0.25">
      <c r="A22" s="11">
        <v>34</v>
      </c>
      <c r="B22" s="38">
        <v>34.5</v>
      </c>
      <c r="C22" s="12">
        <v>9.9532267289265647E-2</v>
      </c>
      <c r="D22" s="27">
        <f t="shared" si="1"/>
        <v>3.4338632214796649</v>
      </c>
      <c r="E22" s="27">
        <f t="shared" si="2"/>
        <v>118.46828114104844</v>
      </c>
      <c r="F22" s="39">
        <f t="shared" si="3"/>
        <v>19.5</v>
      </c>
      <c r="G22" s="12">
        <f t="shared" si="4"/>
        <v>0.10191919309410893</v>
      </c>
      <c r="H22" s="12">
        <f t="shared" si="9"/>
        <v>5.0626302706320812E-2</v>
      </c>
      <c r="R22" s="52">
        <f t="shared" ref="R22:R34" si="10">(B21-15)/(50-15)</f>
        <v>0.52857142857142858</v>
      </c>
      <c r="S22" s="55">
        <f t="shared" si="6"/>
        <v>0.73816196430494618</v>
      </c>
      <c r="T22" s="55">
        <f t="shared" si="8"/>
        <v>5.9846358488804152E-2</v>
      </c>
      <c r="U22" s="55">
        <f t="shared" si="7"/>
        <v>0.12048070352248261</v>
      </c>
    </row>
    <row r="23" spans="1:21" x14ac:dyDescent="0.25">
      <c r="A23" s="11">
        <v>35</v>
      </c>
      <c r="B23" s="38">
        <v>35.5</v>
      </c>
      <c r="C23" s="12">
        <v>8.6652349180564761E-2</v>
      </c>
      <c r="D23" s="27">
        <f t="shared" si="1"/>
        <v>3.0761583959100491</v>
      </c>
      <c r="E23" s="27">
        <f t="shared" si="2"/>
        <v>109.20362305480674</v>
      </c>
      <c r="F23" s="39">
        <f t="shared" si="3"/>
        <v>20.5</v>
      </c>
      <c r="G23" s="12">
        <f t="shared" si="4"/>
        <v>8.8035889395269087E-2</v>
      </c>
      <c r="H23" s="12">
        <f t="shared" si="9"/>
        <v>4.3730051722737653E-2</v>
      </c>
      <c r="R23" s="52">
        <f t="shared" si="10"/>
        <v>0.55714285714285716</v>
      </c>
      <c r="S23" s="55">
        <f t="shared" si="6"/>
        <v>0.79203418321933072</v>
      </c>
      <c r="T23" s="55">
        <f t="shared" si="8"/>
        <v>5.387221891438454E-2</v>
      </c>
      <c r="U23" s="55">
        <f t="shared" si="7"/>
        <v>0.1084537639217677</v>
      </c>
    </row>
    <row r="24" spans="1:21" x14ac:dyDescent="0.25">
      <c r="A24" s="11">
        <v>36</v>
      </c>
      <c r="B24" s="38">
        <v>36.5</v>
      </c>
      <c r="C24" s="12">
        <v>7.0516734456165395E-2</v>
      </c>
      <c r="D24" s="27">
        <f t="shared" si="1"/>
        <v>2.5738608076500369</v>
      </c>
      <c r="E24" s="27">
        <f t="shared" si="2"/>
        <v>93.945919479226347</v>
      </c>
      <c r="F24" s="39">
        <f t="shared" si="3"/>
        <v>21.5</v>
      </c>
      <c r="G24" s="12">
        <f t="shared" si="4"/>
        <v>7.3819555619000971E-2</v>
      </c>
      <c r="H24" s="12">
        <f t="shared" si="9"/>
        <v>3.6668374767869348E-2</v>
      </c>
      <c r="R24" s="52">
        <f t="shared" si="10"/>
        <v>0.58571428571428574</v>
      </c>
      <c r="S24" s="55">
        <f t="shared" si="6"/>
        <v>0.83923874655376762</v>
      </c>
      <c r="T24" s="55">
        <f t="shared" si="8"/>
        <v>4.72045633344369E-2</v>
      </c>
      <c r="U24" s="55">
        <f t="shared" si="7"/>
        <v>9.5030660905934553E-2</v>
      </c>
    </row>
    <row r="25" spans="1:21" x14ac:dyDescent="0.25">
      <c r="A25" s="11">
        <v>37</v>
      </c>
      <c r="B25" s="38">
        <v>37.5</v>
      </c>
      <c r="C25" s="12">
        <v>5.637376752682028E-2</v>
      </c>
      <c r="D25" s="27">
        <f t="shared" si="1"/>
        <v>2.1140162822557604</v>
      </c>
      <c r="E25" s="27">
        <f t="shared" si="2"/>
        <v>79.275610584591021</v>
      </c>
      <c r="F25" s="39">
        <f t="shared" si="3"/>
        <v>22.5</v>
      </c>
      <c r="G25" s="12">
        <f t="shared" si="4"/>
        <v>5.9927005720109061E-2</v>
      </c>
      <c r="H25" s="12">
        <f t="shared" si="9"/>
        <v>2.9767530920974512E-2</v>
      </c>
      <c r="R25" s="52">
        <f t="shared" si="10"/>
        <v>0.61428571428571432</v>
      </c>
      <c r="S25" s="55">
        <f t="shared" si="6"/>
        <v>0.87943609904060338</v>
      </c>
      <c r="T25" s="55">
        <f t="shared" si="8"/>
        <v>4.0197352486835758E-2</v>
      </c>
      <c r="U25" s="55">
        <f t="shared" si="7"/>
        <v>8.0923976489917934E-2</v>
      </c>
    </row>
    <row r="26" spans="1:21" x14ac:dyDescent="0.25">
      <c r="A26" s="11">
        <v>38</v>
      </c>
      <c r="B26" s="38">
        <v>38.5</v>
      </c>
      <c r="C26" s="12">
        <v>4.410406677321968E-2</v>
      </c>
      <c r="D26" s="27">
        <f t="shared" si="1"/>
        <v>1.6980065707689578</v>
      </c>
      <c r="E26" s="27">
        <f t="shared" si="2"/>
        <v>65.373252974604881</v>
      </c>
      <c r="F26" s="39">
        <f t="shared" si="3"/>
        <v>23.5</v>
      </c>
      <c r="G26" s="12">
        <f t="shared" si="4"/>
        <v>4.6928472916785917E-2</v>
      </c>
      <c r="H26" s="12">
        <f t="shared" si="9"/>
        <v>2.3310772027372993E-2</v>
      </c>
      <c r="R26" s="52">
        <f t="shared" si="10"/>
        <v>0.6428571428571429</v>
      </c>
      <c r="S26" s="55">
        <f t="shared" si="6"/>
        <v>0.9126268022057541</v>
      </c>
      <c r="T26" s="55">
        <f t="shared" si="8"/>
        <v>3.3190703165150715E-2</v>
      </c>
      <c r="U26" s="55">
        <f t="shared" si="7"/>
        <v>6.6818422519247134E-2</v>
      </c>
    </row>
    <row r="27" spans="1:21" x14ac:dyDescent="0.25">
      <c r="A27" s="11">
        <v>39</v>
      </c>
      <c r="B27" s="38">
        <v>39.5</v>
      </c>
      <c r="C27" s="12">
        <v>3.4239400183073233E-2</v>
      </c>
      <c r="D27" s="27">
        <f t="shared" si="1"/>
        <v>1.3524563072313927</v>
      </c>
      <c r="E27" s="27">
        <f t="shared" si="2"/>
        <v>53.422024135640008</v>
      </c>
      <c r="F27" s="39">
        <f t="shared" si="3"/>
        <v>24.5</v>
      </c>
      <c r="G27" s="12">
        <f t="shared" si="4"/>
        <v>3.5277671017511017E-2</v>
      </c>
      <c r="H27" s="12">
        <f t="shared" si="9"/>
        <v>1.752347126666709E-2</v>
      </c>
      <c r="R27" s="52">
        <f t="shared" si="10"/>
        <v>0.67142857142857137</v>
      </c>
      <c r="S27" s="55">
        <f t="shared" si="6"/>
        <v>0.93911757126182382</v>
      </c>
      <c r="T27" s="55">
        <f t="shared" si="8"/>
        <v>2.649076905606973E-2</v>
      </c>
      <c r="U27" s="55">
        <f t="shared" si="7"/>
        <v>5.3330337439394443E-2</v>
      </c>
    </row>
    <row r="28" spans="1:21" x14ac:dyDescent="0.25">
      <c r="A28" s="11">
        <v>40</v>
      </c>
      <c r="B28" s="38">
        <v>40.5</v>
      </c>
      <c r="C28" s="12">
        <v>2.4684952828256626E-2</v>
      </c>
      <c r="D28" s="27">
        <f t="shared" si="1"/>
        <v>0.99974058954439338</v>
      </c>
      <c r="E28" s="27">
        <f t="shared" si="2"/>
        <v>40.489493876547932</v>
      </c>
      <c r="F28" s="39">
        <f t="shared" si="3"/>
        <v>25.5</v>
      </c>
      <c r="G28" s="12">
        <f t="shared" si="4"/>
        <v>2.5291057708579642E-2</v>
      </c>
      <c r="H28" s="12">
        <f t="shared" si="9"/>
        <v>1.2562822609234232E-2</v>
      </c>
      <c r="R28" s="52">
        <f t="shared" si="10"/>
        <v>0.7</v>
      </c>
      <c r="S28" s="55">
        <f t="shared" si="6"/>
        <v>0.95947048396492252</v>
      </c>
      <c r="T28" s="55">
        <f t="shared" si="8"/>
        <v>2.0352912703098691E-2</v>
      </c>
      <c r="U28" s="55">
        <f t="shared" si="7"/>
        <v>4.0973808651360799E-2</v>
      </c>
    </row>
    <row r="29" spans="1:21" x14ac:dyDescent="0.25">
      <c r="A29" s="11">
        <v>41</v>
      </c>
      <c r="B29" s="38">
        <v>41.5</v>
      </c>
      <c r="C29" s="12">
        <v>1.6428809828841713E-2</v>
      </c>
      <c r="D29" s="27">
        <f t="shared" si="1"/>
        <v>0.68179560789693106</v>
      </c>
      <c r="E29" s="27">
        <f t="shared" si="2"/>
        <v>28.294517727722639</v>
      </c>
      <c r="F29" s="39">
        <f t="shared" si="3"/>
        <v>26.5</v>
      </c>
      <c r="G29" s="12">
        <f t="shared" si="4"/>
        <v>1.7137526346512815E-2</v>
      </c>
      <c r="H29" s="12">
        <f t="shared" si="9"/>
        <v>8.5127204220993274E-3</v>
      </c>
      <c r="R29" s="52">
        <f t="shared" si="10"/>
        <v>0.72857142857142854</v>
      </c>
      <c r="S29" s="55">
        <f t="shared" si="6"/>
        <v>0.97443954457041038</v>
      </c>
      <c r="T29" s="55">
        <f t="shared" si="8"/>
        <v>1.4969060605487861E-2</v>
      </c>
      <c r="U29" s="55">
        <f t="shared" si="7"/>
        <v>3.013521621632578E-2</v>
      </c>
    </row>
    <row r="30" spans="1:21" x14ac:dyDescent="0.25">
      <c r="A30" s="11">
        <v>42</v>
      </c>
      <c r="B30" s="38">
        <v>42.5</v>
      </c>
      <c r="C30" s="12">
        <v>1.0509645342598567E-2</v>
      </c>
      <c r="D30" s="27">
        <f t="shared" si="1"/>
        <v>0.44665992706043911</v>
      </c>
      <c r="E30" s="27">
        <f t="shared" si="2"/>
        <v>18.983046900068661</v>
      </c>
      <c r="F30" s="39">
        <f t="shared" si="3"/>
        <v>27.5</v>
      </c>
      <c r="G30" s="12">
        <f t="shared" si="4"/>
        <v>1.0839294348623579E-2</v>
      </c>
      <c r="H30" s="12">
        <f t="shared" si="9"/>
        <v>5.3842007590231642E-3</v>
      </c>
      <c r="R30" s="52">
        <f t="shared" si="10"/>
        <v>0.75714285714285712</v>
      </c>
      <c r="S30" s="55">
        <f t="shared" si="6"/>
        <v>0.98489949581147918</v>
      </c>
      <c r="T30" s="55">
        <f t="shared" si="8"/>
        <v>1.0459951241068799E-2</v>
      </c>
      <c r="U30" s="55">
        <f t="shared" si="7"/>
        <v>2.1057626832392685E-2</v>
      </c>
    </row>
    <row r="31" spans="1:21" x14ac:dyDescent="0.25">
      <c r="A31" s="11">
        <v>43</v>
      </c>
      <c r="B31" s="38">
        <v>43.5</v>
      </c>
      <c r="C31" s="12">
        <v>6.1990182426953123E-3</v>
      </c>
      <c r="D31" s="27">
        <f t="shared" si="1"/>
        <v>0.2696572935572461</v>
      </c>
      <c r="E31" s="27">
        <f t="shared" si="2"/>
        <v>11.730092269740206</v>
      </c>
      <c r="F31" s="39">
        <f t="shared" si="3"/>
        <v>28.5</v>
      </c>
      <c r="G31" s="12">
        <f t="shared" si="4"/>
        <v>6.2842219922168204E-3</v>
      </c>
      <c r="H31" s="12">
        <f t="shared" si="9"/>
        <v>3.1215604754437215E-3</v>
      </c>
      <c r="R31" s="52">
        <f t="shared" si="10"/>
        <v>0.7857142857142857</v>
      </c>
      <c r="S31" s="55">
        <f t="shared" si="6"/>
        <v>0.99177227004316049</v>
      </c>
      <c r="T31" s="55">
        <f t="shared" si="8"/>
        <v>6.8727742316813112E-3</v>
      </c>
      <c r="U31" s="55">
        <f t="shared" si="7"/>
        <v>1.3836041080746132E-2</v>
      </c>
    </row>
    <row r="32" spans="1:21" x14ac:dyDescent="0.25">
      <c r="A32" s="11">
        <v>44</v>
      </c>
      <c r="B32" s="38">
        <v>44.5</v>
      </c>
      <c r="C32" s="12">
        <v>3.2773673606447278E-3</v>
      </c>
      <c r="D32" s="27">
        <f t="shared" si="1"/>
        <v>0.1458428475486904</v>
      </c>
      <c r="E32" s="27">
        <f t="shared" si="2"/>
        <v>6.4900067159167225</v>
      </c>
      <c r="F32" s="39">
        <f t="shared" si="3"/>
        <v>29.5</v>
      </c>
      <c r="G32" s="12">
        <f t="shared" si="4"/>
        <v>3.2491657555444222E-3</v>
      </c>
      <c r="H32" s="12">
        <f t="shared" si="9"/>
        <v>1.6139575293862033E-3</v>
      </c>
      <c r="R32" s="52">
        <f t="shared" si="10"/>
        <v>0.81428571428571428</v>
      </c>
      <c r="S32" s="55">
        <f t="shared" si="6"/>
        <v>0.99595672299861127</v>
      </c>
      <c r="T32" s="55">
        <f t="shared" si="8"/>
        <v>4.1844529554507792E-3</v>
      </c>
      <c r="U32" s="55">
        <f t="shared" si="7"/>
        <v>8.4240018717889956E-3</v>
      </c>
    </row>
    <row r="33" spans="1:21" x14ac:dyDescent="0.25">
      <c r="A33" s="11">
        <v>45</v>
      </c>
      <c r="B33" s="38">
        <v>45.5</v>
      </c>
      <c r="C33" s="12">
        <v>1.711290638996368E-3</v>
      </c>
      <c r="D33" s="27">
        <f t="shared" si="1"/>
        <v>7.7863724074334742E-2</v>
      </c>
      <c r="E33" s="27">
        <f t="shared" si="2"/>
        <v>3.5427994453822307</v>
      </c>
      <c r="F33" s="39">
        <f t="shared" si="3"/>
        <v>30.5</v>
      </c>
      <c r="G33" s="12">
        <f t="shared" si="4"/>
        <v>1.4332135395739498E-3</v>
      </c>
      <c r="H33" s="12">
        <f t="shared" si="9"/>
        <v>7.1191990727664269E-4</v>
      </c>
      <c r="R33" s="52">
        <f t="shared" si="10"/>
        <v>0.84285714285714286</v>
      </c>
      <c r="S33" s="55">
        <f t="shared" si="6"/>
        <v>0.99826725784212011</v>
      </c>
      <c r="T33" s="55">
        <f t="shared" si="8"/>
        <v>2.3105348435088491E-3</v>
      </c>
      <c r="U33" s="55">
        <f t="shared" si="7"/>
        <v>4.6514920955672313E-3</v>
      </c>
    </row>
    <row r="34" spans="1:21" x14ac:dyDescent="0.25">
      <c r="A34" s="11">
        <v>46</v>
      </c>
      <c r="B34" s="38">
        <v>46.5</v>
      </c>
      <c r="C34" s="12">
        <v>8.7696336524198772E-4</v>
      </c>
      <c r="D34" s="27">
        <f t="shared" si="1"/>
        <v>4.0778796483752426E-2</v>
      </c>
      <c r="E34" s="27">
        <f t="shared" si="2"/>
        <v>1.8962140364944877</v>
      </c>
      <c r="F34" s="39">
        <f t="shared" si="3"/>
        <v>31.5</v>
      </c>
      <c r="G34" s="12">
        <f t="shared" si="4"/>
        <v>4.9871074146328744E-4</v>
      </c>
      <c r="H34" s="12">
        <f t="shared" si="9"/>
        <v>2.4772449814139511E-4</v>
      </c>
      <c r="R34" s="52">
        <f t="shared" si="10"/>
        <v>0.87142857142857144</v>
      </c>
      <c r="S34" s="55">
        <f t="shared" si="6"/>
        <v>0.99938656877375698</v>
      </c>
      <c r="T34" s="55">
        <f t="shared" si="8"/>
        <v>1.1193109316368632E-3</v>
      </c>
      <c r="U34" s="55">
        <f t="shared" si="7"/>
        <v>2.253359634726029E-3</v>
      </c>
    </row>
    <row r="35" spans="1:21" x14ac:dyDescent="0.25">
      <c r="A35" s="11">
        <v>47</v>
      </c>
      <c r="B35" s="38">
        <v>47.5</v>
      </c>
      <c r="C35" s="12">
        <v>4.1730060643928671E-4</v>
      </c>
      <c r="D35" s="27">
        <f t="shared" si="1"/>
        <v>1.9821778805866119E-2</v>
      </c>
      <c r="E35" s="27">
        <f t="shared" si="2"/>
        <v>0.94153449327864058</v>
      </c>
      <c r="F35" s="39">
        <f t="shared" si="3"/>
        <v>32.5</v>
      </c>
      <c r="G35" s="12">
        <f t="shared" si="4"/>
        <v>1.1676435715356239E-4</v>
      </c>
      <c r="H35" s="12">
        <f t="shared" si="9"/>
        <v>5.800033841620836E-5</v>
      </c>
      <c r="R35" s="52">
        <f>(B34-15)/(50-15)</f>
        <v>0.9</v>
      </c>
      <c r="S35" s="55">
        <f t="shared" si="6"/>
        <v>0.99983693696766374</v>
      </c>
      <c r="T35" s="55">
        <f t="shared" si="8"/>
        <v>4.5036819390675831E-4</v>
      </c>
      <c r="U35" s="55">
        <f t="shared" si="7"/>
        <v>9.0666630712689063E-4</v>
      </c>
    </row>
    <row r="36" spans="1:21" x14ac:dyDescent="0.25">
      <c r="A36" s="11">
        <v>48</v>
      </c>
      <c r="B36" s="38">
        <v>48.5</v>
      </c>
      <c r="C36" s="12">
        <v>2.0124865643652662E-4</v>
      </c>
      <c r="D36" s="27">
        <f t="shared" si="1"/>
        <v>9.7605598371715407E-3</v>
      </c>
      <c r="E36" s="27">
        <f t="shared" si="2"/>
        <v>0.47338715210281973</v>
      </c>
      <c r="F36" s="39">
        <f t="shared" si="3"/>
        <v>33.5</v>
      </c>
      <c r="G36" s="12">
        <f t="shared" si="4"/>
        <v>1.219061150427496E-5</v>
      </c>
      <c r="H36" s="12">
        <f t="shared" si="9"/>
        <v>6.0554402900414435E-6</v>
      </c>
      <c r="R36" s="53">
        <f>(B35-15)/(50-15)</f>
        <v>0.9285714285714286</v>
      </c>
      <c r="S36" s="56">
        <f t="shared" si="6"/>
        <v>0.99997318445406513</v>
      </c>
      <c r="T36" s="56">
        <f t="shared" si="8"/>
        <v>1.3624748640139739E-4</v>
      </c>
      <c r="U36" s="56">
        <f t="shared" si="7"/>
        <v>2.7428891964882267E-4</v>
      </c>
    </row>
    <row r="37" spans="1:21" ht="13" x14ac:dyDescent="0.3">
      <c r="A37" s="11">
        <v>49</v>
      </c>
      <c r="B37" s="38">
        <v>49.5</v>
      </c>
      <c r="C37" s="12">
        <v>4.119940627077852E-4</v>
      </c>
      <c r="D37" s="27">
        <f t="shared" si="1"/>
        <v>2.0393706104035368E-2</v>
      </c>
      <c r="E37" s="27">
        <f t="shared" si="2"/>
        <v>1.0094884521497507</v>
      </c>
      <c r="F37" s="39">
        <f t="shared" si="3"/>
        <v>34.5</v>
      </c>
      <c r="G37" s="12">
        <f t="shared" si="4"/>
        <v>8.4239522237514436E-8</v>
      </c>
      <c r="H37" s="12">
        <f t="shared" si="9"/>
        <v>4.1844282937898934E-8</v>
      </c>
      <c r="S37" s="57"/>
      <c r="T37" s="58">
        <f>SUM(T4:T36)</f>
        <v>0.99997318445406513</v>
      </c>
      <c r="U37" s="58">
        <f t="shared" si="7"/>
        <v>2.0131128410959462</v>
      </c>
    </row>
    <row r="38" spans="1:21" ht="13" x14ac:dyDescent="0.3">
      <c r="A38" s="13" t="s">
        <v>25</v>
      </c>
      <c r="B38" s="13"/>
      <c r="C38" s="28">
        <f>SUM(C3:C37)</f>
        <v>2.0131668252634238</v>
      </c>
      <c r="D38" s="29">
        <f>SUM(D3:D37)</f>
        <v>60.45528966837734</v>
      </c>
      <c r="E38" s="29">
        <f>SUM(E3:E37)</f>
        <v>1871.2103345948083</v>
      </c>
      <c r="F38" s="8"/>
      <c r="G38" s="15">
        <f>SUM(G3:G37)</f>
        <v>2.0132414170780075</v>
      </c>
      <c r="H38" s="15">
        <f>SUM(H3:H37)</f>
        <v>1.0000370519788262</v>
      </c>
    </row>
    <row r="39" spans="1:21" ht="13" x14ac:dyDescent="0.3">
      <c r="A39" s="8"/>
      <c r="B39" s="8"/>
      <c r="C39" s="8"/>
      <c r="D39" s="16">
        <f>D38/C38</f>
        <v>30.029945312886198</v>
      </c>
      <c r="E39" s="16">
        <f>E38/C38-D39^2</f>
        <v>27.688362076724047</v>
      </c>
      <c r="F39" s="8"/>
      <c r="G39" s="8"/>
      <c r="H39" s="8"/>
    </row>
    <row r="40" spans="1:21" x14ac:dyDescent="0.25">
      <c r="A40" s="8"/>
      <c r="B40" s="8"/>
      <c r="C40" s="8"/>
      <c r="D40" s="30" t="s">
        <v>7</v>
      </c>
      <c r="E40" s="30" t="s">
        <v>8</v>
      </c>
      <c r="F40" s="8"/>
      <c r="G40" s="8"/>
      <c r="H40" s="8"/>
    </row>
    <row r="41" spans="1:21" ht="15" x14ac:dyDescent="0.3">
      <c r="A41" s="8"/>
      <c r="B41" s="8"/>
      <c r="C41" s="8"/>
      <c r="D41" s="24" t="s">
        <v>9</v>
      </c>
      <c r="E41" s="24" t="s">
        <v>21</v>
      </c>
      <c r="F41" s="8"/>
      <c r="G41" s="8"/>
      <c r="H41" s="8"/>
    </row>
    <row r="42" spans="1:21" ht="13" x14ac:dyDescent="0.3">
      <c r="A42" s="8"/>
      <c r="B42" s="8"/>
      <c r="C42" s="35" t="s">
        <v>26</v>
      </c>
      <c r="D42" s="17">
        <f>(D39-15)/35</f>
        <v>0.42942700893960567</v>
      </c>
      <c r="E42" s="17">
        <f>E39/(35^2)</f>
        <v>2.2602744552427792E-2</v>
      </c>
      <c r="F42" s="8"/>
      <c r="G42" s="8"/>
      <c r="H42" s="8"/>
    </row>
    <row r="43" spans="1:21" ht="13" x14ac:dyDescent="0.3">
      <c r="A43" s="13" t="s">
        <v>11</v>
      </c>
      <c r="B43" s="13"/>
      <c r="D43" s="14">
        <f>((1-D42)*D42^2)/E42-D42</f>
        <v>4.2256700993292506</v>
      </c>
      <c r="E43" s="8"/>
      <c r="F43" s="8"/>
      <c r="H43" s="31">
        <v>4.2256700993292506</v>
      </c>
      <c r="I43" s="8"/>
      <c r="J43" s="32">
        <v>8.0232659999999996</v>
      </c>
    </row>
    <row r="44" spans="1:21" ht="13" x14ac:dyDescent="0.3">
      <c r="A44" s="13" t="s">
        <v>27</v>
      </c>
      <c r="B44" s="13"/>
      <c r="D44" s="14">
        <f>((1-D42)^2*D42)/E42-(1-D42)</f>
        <v>5.6145821702329242</v>
      </c>
      <c r="E44" s="8"/>
      <c r="F44" s="8"/>
      <c r="H44" s="33">
        <v>5.6145821702329242</v>
      </c>
      <c r="I44" s="8"/>
      <c r="J44" s="32">
        <v>63.038420000000002</v>
      </c>
    </row>
    <row r="45" spans="1:21" ht="13" x14ac:dyDescent="0.3">
      <c r="A45" s="34" t="s">
        <v>28</v>
      </c>
      <c r="B45" s="34"/>
      <c r="D45" s="14">
        <f>D43+D44</f>
        <v>9.8402522695621748</v>
      </c>
      <c r="E45" s="8"/>
      <c r="F45" s="8"/>
      <c r="H45" s="31">
        <v>9.8402522695621748</v>
      </c>
      <c r="I45" s="8"/>
      <c r="J45" s="32">
        <v>253614.6</v>
      </c>
    </row>
    <row r="46" spans="1:21" ht="13" x14ac:dyDescent="0.3">
      <c r="A46" s="13" t="s">
        <v>23</v>
      </c>
      <c r="B46" s="13"/>
      <c r="D46" s="14">
        <v>8.0232659999999996</v>
      </c>
      <c r="E46" s="8"/>
      <c r="F46" s="8"/>
    </row>
    <row r="47" spans="1:21" ht="13" x14ac:dyDescent="0.3">
      <c r="A47" s="13" t="s">
        <v>29</v>
      </c>
      <c r="B47" s="13"/>
      <c r="D47" s="14">
        <v>63.038420000000002</v>
      </c>
      <c r="E47" s="8"/>
      <c r="F47" s="8"/>
    </row>
    <row r="48" spans="1:21" ht="13" x14ac:dyDescent="0.3">
      <c r="A48" s="13" t="s">
        <v>30</v>
      </c>
      <c r="B48" s="13"/>
      <c r="D48" s="14">
        <v>253614.6</v>
      </c>
      <c r="E48" s="8"/>
      <c r="F48" s="8"/>
    </row>
    <row r="49" spans="1:8" ht="13" x14ac:dyDescent="0.3">
      <c r="A49" s="13"/>
      <c r="B49" s="13"/>
      <c r="D49" s="14"/>
      <c r="E49" s="8"/>
      <c r="F49" s="8"/>
    </row>
    <row r="51" spans="1:8" ht="14.5" x14ac:dyDescent="0.35">
      <c r="A51" s="21" t="s">
        <v>12</v>
      </c>
    </row>
    <row r="52" spans="1:8" x14ac:dyDescent="0.25">
      <c r="A52" s="2"/>
    </row>
    <row r="53" spans="1:8" ht="14.5" x14ac:dyDescent="0.35">
      <c r="A53" s="21" t="s">
        <v>13</v>
      </c>
    </row>
    <row r="56" spans="1:8" x14ac:dyDescent="0.25">
      <c r="A56" s="8"/>
      <c r="B56" s="8"/>
      <c r="C56" s="9" t="s">
        <v>31</v>
      </c>
      <c r="D56" s="8"/>
      <c r="E56" s="8"/>
      <c r="F56" s="8"/>
      <c r="G56" s="9" t="s">
        <v>31</v>
      </c>
    </row>
    <row r="57" spans="1:8" ht="15.5" x14ac:dyDescent="0.4">
      <c r="A57" s="10" t="s">
        <v>0</v>
      </c>
      <c r="B57" s="10" t="s">
        <v>35</v>
      </c>
      <c r="C57" s="9" t="s">
        <v>5</v>
      </c>
      <c r="D57" s="9" t="s">
        <v>36</v>
      </c>
      <c r="E57" s="9" t="s">
        <v>37</v>
      </c>
      <c r="F57" s="9" t="s">
        <v>38</v>
      </c>
      <c r="G57" s="9" t="s">
        <v>33</v>
      </c>
    </row>
    <row r="58" spans="1:8" x14ac:dyDescent="0.25">
      <c r="A58" s="23" t="s">
        <v>14</v>
      </c>
      <c r="B58" s="23">
        <v>17.5</v>
      </c>
      <c r="C58" s="8">
        <v>4.8388543917936247E-2</v>
      </c>
      <c r="D58" s="8">
        <f>B58*C58</f>
        <v>0.84679951856388436</v>
      </c>
      <c r="E58" s="8">
        <f>B58^2*C58</f>
        <v>14.818991574867976</v>
      </c>
      <c r="F58" s="5">
        <f>B58-15</f>
        <v>2.5</v>
      </c>
      <c r="G58" s="12">
        <f>5*C$65*D$75/(D$73*D$74)*F58^(D$70-1)*(50-B58)^(D$71-1)/35^(D$70+D$71-1)</f>
        <v>2.8237554642183166E-2</v>
      </c>
      <c r="H58" s="36"/>
    </row>
    <row r="59" spans="1:8" x14ac:dyDescent="0.25">
      <c r="A59" s="23" t="s">
        <v>15</v>
      </c>
      <c r="B59" s="23">
        <v>22.5</v>
      </c>
      <c r="C59" s="8">
        <v>0.30180424886437907</v>
      </c>
      <c r="D59" s="8">
        <f t="shared" ref="D59:D64" si="11">B59*C59</f>
        <v>6.7905955994485288</v>
      </c>
      <c r="E59" s="8">
        <f t="shared" ref="E59:E64" si="12">B59^2*C59</f>
        <v>152.7884009875919</v>
      </c>
      <c r="F59" s="5">
        <f t="shared" ref="F59:F64" si="13">B59-15</f>
        <v>7.5</v>
      </c>
      <c r="G59" s="12">
        <f t="shared" ref="G59:G64" si="14">5*C$65*D$75/(D$73*D$74)*F59^(D$70-1)*(50-B59)^(D$71-1)/35^(D$70+D$71-1)</f>
        <v>0.34379931571614586</v>
      </c>
      <c r="H59" s="36"/>
    </row>
    <row r="60" spans="1:8" x14ac:dyDescent="0.25">
      <c r="A60" s="23" t="s">
        <v>16</v>
      </c>
      <c r="B60" s="23">
        <v>27.5</v>
      </c>
      <c r="C60" s="8">
        <v>0.6688393472591655</v>
      </c>
      <c r="D60" s="8">
        <f t="shared" si="11"/>
        <v>18.393082049627051</v>
      </c>
      <c r="E60" s="8">
        <f t="shared" si="12"/>
        <v>505.80975636474392</v>
      </c>
      <c r="F60" s="5">
        <f t="shared" si="13"/>
        <v>12.5</v>
      </c>
      <c r="G60" s="12">
        <f t="shared" si="14"/>
        <v>0.65593043976754317</v>
      </c>
      <c r="H60" s="36"/>
    </row>
    <row r="61" spans="1:8" x14ac:dyDescent="0.25">
      <c r="A61" s="23" t="s">
        <v>17</v>
      </c>
      <c r="B61" s="23">
        <v>32.5</v>
      </c>
      <c r="C61" s="8">
        <v>0.63752977616924034</v>
      </c>
      <c r="D61" s="8">
        <f t="shared" si="11"/>
        <v>20.71971772550031</v>
      </c>
      <c r="E61" s="8">
        <f t="shared" si="12"/>
        <v>673.39082607876014</v>
      </c>
      <c r="F61" s="5">
        <f t="shared" si="13"/>
        <v>17.5</v>
      </c>
      <c r="G61" s="12">
        <f t="shared" si="14"/>
        <v>0.60886446587162779</v>
      </c>
      <c r="H61" s="36"/>
    </row>
    <row r="62" spans="1:8" x14ac:dyDescent="0.25">
      <c r="A62" s="23" t="s">
        <v>18</v>
      </c>
      <c r="B62" s="23">
        <v>37.5</v>
      </c>
      <c r="C62" s="8">
        <v>0.29188631811984334</v>
      </c>
      <c r="D62" s="8">
        <f t="shared" si="11"/>
        <v>10.945736929494124</v>
      </c>
      <c r="E62" s="8">
        <f t="shared" si="12"/>
        <v>410.46513485602969</v>
      </c>
      <c r="F62" s="5">
        <f t="shared" si="13"/>
        <v>22.5</v>
      </c>
      <c r="G62" s="12">
        <f t="shared" si="14"/>
        <v>0.30848792231701566</v>
      </c>
      <c r="H62" s="36"/>
    </row>
    <row r="63" spans="1:8" x14ac:dyDescent="0.25">
      <c r="A63" s="23" t="s">
        <v>19</v>
      </c>
      <c r="B63" s="23">
        <v>42.5</v>
      </c>
      <c r="C63" s="8">
        <v>6.1099793603036939E-2</v>
      </c>
      <c r="D63" s="8">
        <f t="shared" si="11"/>
        <v>2.59674122812907</v>
      </c>
      <c r="E63" s="8">
        <f t="shared" si="12"/>
        <v>110.36150219548547</v>
      </c>
      <c r="F63" s="5">
        <f t="shared" si="13"/>
        <v>27.5</v>
      </c>
      <c r="G63" s="12">
        <f t="shared" si="14"/>
        <v>6.4880273552702261E-2</v>
      </c>
      <c r="H63" s="36"/>
    </row>
    <row r="64" spans="1:8" x14ac:dyDescent="0.25">
      <c r="A64" s="23" t="s">
        <v>20</v>
      </c>
      <c r="B64" s="23">
        <v>47.5</v>
      </c>
      <c r="C64" s="8">
        <v>3.618797329821954E-3</v>
      </c>
      <c r="D64" s="8">
        <f t="shared" si="11"/>
        <v>0.17189287316654281</v>
      </c>
      <c r="E64" s="8">
        <f t="shared" si="12"/>
        <v>8.1649114754107845</v>
      </c>
      <c r="F64" s="5">
        <f t="shared" si="13"/>
        <v>32.5</v>
      </c>
      <c r="G64" s="12">
        <f t="shared" si="14"/>
        <v>1.0499765203717231E-3</v>
      </c>
      <c r="H64" s="36"/>
    </row>
    <row r="65" spans="1:8" ht="13" x14ac:dyDescent="0.3">
      <c r="A65" s="13" t="s">
        <v>6</v>
      </c>
      <c r="C65" s="14">
        <f>SUM(C58:C64)</f>
        <v>2.0131668252634234</v>
      </c>
      <c r="D65" s="8">
        <f>SUM(D58:D64)</f>
        <v>60.464565923929513</v>
      </c>
      <c r="E65" s="8">
        <f>SUM(E58:E64)</f>
        <v>1875.7995235328897</v>
      </c>
      <c r="G65" s="32">
        <f>SUM(G58:G64)</f>
        <v>2.0112499483875896</v>
      </c>
      <c r="H65" s="36"/>
    </row>
    <row r="66" spans="1:8" ht="13" x14ac:dyDescent="0.3">
      <c r="D66" s="16">
        <f>D65/C65</f>
        <v>30.034553105661132</v>
      </c>
      <c r="E66" s="16">
        <f>E65/C65-D66^2</f>
        <v>29.691184322024014</v>
      </c>
    </row>
    <row r="67" spans="1:8" x14ac:dyDescent="0.25">
      <c r="D67" s="9" t="s">
        <v>7</v>
      </c>
      <c r="E67" s="9" t="s">
        <v>8</v>
      </c>
    </row>
    <row r="68" spans="1:8" ht="15" x14ac:dyDescent="0.3">
      <c r="D68" s="24" t="s">
        <v>9</v>
      </c>
      <c r="E68" s="24" t="s">
        <v>21</v>
      </c>
    </row>
    <row r="69" spans="1:8" ht="13" x14ac:dyDescent="0.3">
      <c r="C69" s="35" t="s">
        <v>26</v>
      </c>
      <c r="D69" s="17">
        <f>(D66-15)/35</f>
        <v>0.42955866016174665</v>
      </c>
      <c r="E69" s="17">
        <f>E66/(35^2)</f>
        <v>2.4237701487366543E-2</v>
      </c>
    </row>
    <row r="70" spans="1:8" ht="13" x14ac:dyDescent="0.3">
      <c r="A70" s="13" t="s">
        <v>11</v>
      </c>
      <c r="C70" s="14"/>
      <c r="D70" s="14">
        <f>((1-D69)*D69^2)/E69-D69</f>
        <v>3.9131882212520042</v>
      </c>
      <c r="E70" s="8"/>
      <c r="H70" s="8">
        <v>3.9131882212520042</v>
      </c>
    </row>
    <row r="71" spans="1:8" ht="13" x14ac:dyDescent="0.3">
      <c r="A71" s="13" t="s">
        <v>27</v>
      </c>
      <c r="C71" s="14"/>
      <c r="D71" s="14">
        <f>((1-D69)^2*D69)/E69-(1-D69)</f>
        <v>5.1965995310855364</v>
      </c>
      <c r="E71" s="8"/>
      <c r="H71" s="8">
        <v>5.1965995310855364</v>
      </c>
    </row>
    <row r="72" spans="1:8" ht="13" x14ac:dyDescent="0.3">
      <c r="A72" s="34" t="s">
        <v>28</v>
      </c>
      <c r="D72" s="14">
        <f>D70+D71</f>
        <v>9.1097877523375406</v>
      </c>
      <c r="H72" s="8">
        <v>9.1097877523375406</v>
      </c>
    </row>
    <row r="73" spans="1:8" ht="13" x14ac:dyDescent="0.3">
      <c r="A73" s="13" t="s">
        <v>23</v>
      </c>
      <c r="D73" s="14">
        <v>5.3860190000000001</v>
      </c>
    </row>
    <row r="74" spans="1:8" ht="13" x14ac:dyDescent="0.3">
      <c r="A74" s="13" t="s">
        <v>29</v>
      </c>
      <c r="D74" s="14">
        <v>32.406959999999998</v>
      </c>
    </row>
    <row r="75" spans="1:8" ht="13" x14ac:dyDescent="0.3">
      <c r="A75" s="13" t="s">
        <v>30</v>
      </c>
      <c r="D75" s="14">
        <v>51039.27</v>
      </c>
    </row>
    <row r="76" spans="1:8" ht="13" x14ac:dyDescent="0.3">
      <c r="A76" s="13"/>
      <c r="D76" s="14"/>
    </row>
    <row r="79" spans="1:8" x14ac:dyDescent="0.25">
      <c r="A79" s="8"/>
      <c r="B79" s="8"/>
      <c r="C79" s="10"/>
      <c r="D79" s="8"/>
      <c r="E79" s="8"/>
      <c r="F79" s="8"/>
      <c r="G79" s="10"/>
    </row>
    <row r="80" spans="1:8" x14ac:dyDescent="0.25">
      <c r="A80" s="10"/>
      <c r="B80" s="10"/>
      <c r="C80" s="9"/>
      <c r="D80" s="9"/>
      <c r="E80" s="9"/>
      <c r="F80" s="9"/>
      <c r="G80" s="9"/>
    </row>
    <row r="81" spans="1:8" x14ac:dyDescent="0.25">
      <c r="A81" s="23"/>
      <c r="B81" s="23"/>
      <c r="C81" s="8"/>
      <c r="D81" s="8"/>
      <c r="E81" s="8"/>
    </row>
    <row r="82" spans="1:8" x14ac:dyDescent="0.25">
      <c r="A82" s="23"/>
      <c r="B82" s="23"/>
      <c r="C82" s="8"/>
      <c r="D82" s="8"/>
      <c r="E82" s="8"/>
    </row>
    <row r="83" spans="1:8" x14ac:dyDescent="0.25">
      <c r="A83" s="23"/>
      <c r="B83" s="23"/>
      <c r="C83" s="8"/>
      <c r="D83" s="8"/>
      <c r="E83" s="8"/>
    </row>
    <row r="84" spans="1:8" x14ac:dyDescent="0.25">
      <c r="A84" s="23"/>
      <c r="B84" s="23"/>
      <c r="C84" s="8"/>
      <c r="D84" s="8"/>
      <c r="E84" s="8"/>
    </row>
    <row r="85" spans="1:8" x14ac:dyDescent="0.25">
      <c r="A85" s="23"/>
      <c r="B85" s="23"/>
      <c r="C85" s="8"/>
      <c r="D85" s="8"/>
      <c r="E85" s="8"/>
    </row>
    <row r="86" spans="1:8" x14ac:dyDescent="0.25">
      <c r="A86" s="23"/>
      <c r="B86" s="23"/>
      <c r="C86" s="8"/>
      <c r="D86" s="8"/>
      <c r="E86" s="8"/>
    </row>
    <row r="87" spans="1:8" x14ac:dyDescent="0.25">
      <c r="A87" s="23"/>
      <c r="B87" s="23"/>
      <c r="C87" s="8"/>
      <c r="D87" s="8"/>
      <c r="E87" s="8"/>
    </row>
    <row r="88" spans="1:8" ht="13" x14ac:dyDescent="0.3">
      <c r="A88" s="13"/>
      <c r="C88" s="8"/>
      <c r="D88" s="8"/>
      <c r="E88" s="8"/>
    </row>
    <row r="89" spans="1:8" ht="13" x14ac:dyDescent="0.3">
      <c r="D89" s="16"/>
      <c r="E89" s="16"/>
    </row>
    <row r="90" spans="1:8" x14ac:dyDescent="0.25">
      <c r="D90" s="9"/>
      <c r="E90" s="9"/>
    </row>
    <row r="91" spans="1:8" x14ac:dyDescent="0.25">
      <c r="D91" s="9"/>
      <c r="E91" s="9"/>
    </row>
    <row r="92" spans="1:8" ht="13" x14ac:dyDescent="0.3">
      <c r="C92" s="10"/>
      <c r="D92" s="17"/>
      <c r="E92" s="17"/>
    </row>
    <row r="93" spans="1:8" ht="13" x14ac:dyDescent="0.3">
      <c r="A93" s="13"/>
      <c r="C93" s="14"/>
      <c r="D93" s="14"/>
      <c r="E93" s="8"/>
      <c r="H93" s="8"/>
    </row>
    <row r="94" spans="1:8" ht="13" x14ac:dyDescent="0.3">
      <c r="A94" s="13"/>
      <c r="C94" s="14"/>
      <c r="D94" s="14"/>
      <c r="E94" s="8"/>
      <c r="H94" s="8"/>
    </row>
    <row r="95" spans="1:8" ht="13" x14ac:dyDescent="0.3">
      <c r="A95" s="34"/>
      <c r="D95" s="14"/>
      <c r="H95" s="8"/>
    </row>
    <row r="96" spans="1:8" ht="13" x14ac:dyDescent="0.3">
      <c r="A96" s="13"/>
      <c r="D96" s="14"/>
    </row>
    <row r="97" spans="1:4" ht="13" x14ac:dyDescent="0.3">
      <c r="A97" s="13"/>
      <c r="D97" s="14"/>
    </row>
    <row r="98" spans="1:4" ht="13" x14ac:dyDescent="0.3">
      <c r="A98" s="13"/>
      <c r="D98" s="14"/>
    </row>
    <row r="99" spans="1:4" ht="13" x14ac:dyDescent="0.3">
      <c r="A99" s="13"/>
      <c r="D99" s="14"/>
    </row>
  </sheetData>
  <hyperlinks>
    <hyperlink ref="A51" r:id="rId1" xr:uid="{00000000-0004-0000-0200-000000000000}"/>
    <hyperlink ref="A53" r:id="rId2" xr:uid="{00000000-0004-0000-0200-000001000000}"/>
  </hyperlinks>
  <pageMargins left="0.7" right="0.7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Equation.3" shapeId="3075" r:id="rId6">
          <objectPr defaultSize="0" autoPict="0" r:id="rId7">
            <anchor moveWithCells="1" sizeWithCells="1">
              <from>
                <xdr:col>8</xdr:col>
                <xdr:colOff>0</xdr:colOff>
                <xdr:row>28</xdr:row>
                <xdr:rowOff>38100</xdr:rowOff>
              </from>
              <to>
                <xdr:col>15</xdr:col>
                <xdr:colOff>546100</xdr:colOff>
                <xdr:row>33</xdr:row>
                <xdr:rowOff>88900</xdr:rowOff>
              </to>
            </anchor>
          </objectPr>
        </oleObject>
      </mc:Choice>
      <mc:Fallback>
        <oleObject progId="Equation.3" shapeId="3075" r:id="rId6"/>
      </mc:Fallback>
    </mc:AlternateContent>
    <mc:AlternateContent xmlns:mc="http://schemas.openxmlformats.org/markup-compatibility/2006">
      <mc:Choice Requires="x14">
        <oleObject progId="Equation.3" shapeId="3076" r:id="rId8">
          <objectPr defaultSize="0" autoPict="0" r:id="rId7">
            <anchor moveWithCells="1" sizeWithCells="1">
              <from>
                <xdr:col>8</xdr:col>
                <xdr:colOff>698500</xdr:colOff>
                <xdr:row>74</xdr:row>
                <xdr:rowOff>19050</xdr:rowOff>
              </from>
              <to>
                <xdr:col>16</xdr:col>
                <xdr:colOff>476250</xdr:colOff>
                <xdr:row>79</xdr:row>
                <xdr:rowOff>107950</xdr:rowOff>
              </to>
            </anchor>
          </objectPr>
        </oleObject>
      </mc:Choice>
      <mc:Fallback>
        <oleObject progId="Equation.3" shapeId="307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gamma_ex</vt:lpstr>
      <vt:lpstr>gamma_P</vt:lpstr>
      <vt:lpstr>beta_P</vt:lpstr>
    </vt:vector>
  </TitlesOfParts>
  <Company>UP1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Alexandre Avdeev</cp:lastModifiedBy>
  <dcterms:created xsi:type="dcterms:W3CDTF">2014-03-11T11:50:53Z</dcterms:created>
  <dcterms:modified xsi:type="dcterms:W3CDTF">2021-11-24T19:46:30Z</dcterms:modified>
</cp:coreProperties>
</file>