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aedeparis-my.sharepoint.com/personal/olivier_de-la-villarmois_iae_pantheonsorbonne_fr/Documents/IAE de Paris/M2 CGAO/UE 2 New 2025/Supports/Supports 2025/FC maj 2025 01/"/>
    </mc:Choice>
  </mc:AlternateContent>
  <xr:revisionPtr revIDLastSave="0" documentId="11_FE84E814350990618363A33E49861FBF4762111D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r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7" i="1" l="1"/>
  <c r="J77" i="1"/>
  <c r="F16" i="1" l="1"/>
  <c r="F18" i="1" s="1"/>
  <c r="C16" i="1"/>
  <c r="C18" i="1" s="1"/>
  <c r="F26" i="1"/>
  <c r="E17" i="1"/>
  <c r="C26" i="1" l="1"/>
  <c r="B67" i="1" l="1"/>
  <c r="E33" i="1" l="1"/>
  <c r="H60" i="1"/>
  <c r="H59" i="1"/>
  <c r="H58" i="1"/>
  <c r="H57" i="1"/>
  <c r="H55" i="1"/>
  <c r="H54" i="1"/>
  <c r="H53" i="1"/>
  <c r="E54" i="1"/>
  <c r="E55" i="1"/>
  <c r="E57" i="1"/>
  <c r="E58" i="1"/>
  <c r="E59" i="1"/>
  <c r="E60" i="1"/>
  <c r="E53" i="1"/>
  <c r="E39" i="1"/>
  <c r="E40" i="1"/>
  <c r="E41" i="1"/>
  <c r="G37" i="1"/>
  <c r="H37" i="1" s="1"/>
  <c r="G38" i="1"/>
  <c r="H38" i="1" s="1"/>
  <c r="G39" i="1"/>
  <c r="H39" i="1" s="1"/>
  <c r="G40" i="1"/>
  <c r="H40" i="1" s="1"/>
  <c r="G41" i="1"/>
  <c r="H41" i="1" s="1"/>
  <c r="G36" i="1"/>
  <c r="H36" i="1" s="1"/>
  <c r="E38" i="1"/>
  <c r="E37" i="1"/>
  <c r="E36" i="1"/>
  <c r="E44" i="1"/>
  <c r="E43" i="1"/>
  <c r="G44" i="1"/>
  <c r="H44" i="1" s="1"/>
  <c r="G43" i="1"/>
  <c r="H43" i="1" s="1"/>
  <c r="C32" i="1"/>
  <c r="D32" i="1" s="1"/>
  <c r="F32" i="1" s="1"/>
  <c r="D47" i="1" s="1"/>
  <c r="E66" i="1" s="1"/>
  <c r="C31" i="1"/>
  <c r="D31" i="1" s="1"/>
  <c r="F31" i="1" s="1"/>
  <c r="D46" i="1" s="1"/>
  <c r="E65" i="1" s="1"/>
  <c r="H13" i="1"/>
  <c r="E13" i="1"/>
  <c r="F14" i="1"/>
  <c r="H14" i="1" s="1"/>
  <c r="C14" i="1"/>
  <c r="E14" i="1" s="1"/>
  <c r="F15" i="1"/>
  <c r="H15" i="1" s="1"/>
  <c r="C15" i="1"/>
  <c r="E15" i="1" s="1"/>
  <c r="H17" i="1"/>
  <c r="D6" i="1"/>
  <c r="F6" i="1" s="1"/>
  <c r="D23" i="1" s="1"/>
  <c r="D7" i="1"/>
  <c r="F7" i="1" s="1"/>
  <c r="D24" i="1" s="1"/>
  <c r="D8" i="1"/>
  <c r="F8" i="1" s="1"/>
  <c r="D25" i="1" s="1"/>
  <c r="D5" i="1"/>
  <c r="F5" i="1" s="1"/>
  <c r="D22" i="1" s="1"/>
  <c r="D3" i="1"/>
  <c r="F3" i="1" s="1"/>
  <c r="D20" i="1" s="1"/>
  <c r="D4" i="1"/>
  <c r="F4" i="1" s="1"/>
  <c r="D21" i="1" s="1"/>
  <c r="D2" i="1"/>
  <c r="F2" i="1" s="1"/>
  <c r="D19" i="1" s="1"/>
  <c r="H42" i="1" l="1"/>
  <c r="H45" i="1" s="1"/>
  <c r="E42" i="1"/>
  <c r="E45" i="1" s="1"/>
  <c r="H16" i="1"/>
  <c r="G16" i="1" s="1"/>
  <c r="E16" i="1"/>
  <c r="H61" i="1"/>
  <c r="H56" i="1"/>
  <c r="E56" i="1"/>
  <c r="E61" i="1"/>
  <c r="E46" i="1"/>
  <c r="G46" i="1"/>
  <c r="H46" i="1" s="1"/>
  <c r="E47" i="1"/>
  <c r="G47" i="1"/>
  <c r="E21" i="1"/>
  <c r="G21" i="1"/>
  <c r="H21" i="1" s="1"/>
  <c r="G22" i="1"/>
  <c r="H22" i="1" s="1"/>
  <c r="K22" i="1" s="1"/>
  <c r="E22" i="1"/>
  <c r="J22" i="1" s="1"/>
  <c r="G24" i="1"/>
  <c r="H24" i="1" s="1"/>
  <c r="K24" i="1" s="1"/>
  <c r="E24" i="1"/>
  <c r="J24" i="1" s="1"/>
  <c r="E25" i="1"/>
  <c r="J25" i="1" s="1"/>
  <c r="G25" i="1"/>
  <c r="H25" i="1" s="1"/>
  <c r="K25" i="1" s="1"/>
  <c r="G19" i="1"/>
  <c r="H19" i="1" s="1"/>
  <c r="K19" i="1" s="1"/>
  <c r="E19" i="1"/>
  <c r="J19" i="1" s="1"/>
  <c r="G20" i="1"/>
  <c r="H20" i="1" s="1"/>
  <c r="E20" i="1"/>
  <c r="E23" i="1"/>
  <c r="G23" i="1"/>
  <c r="H23" i="1" s="1"/>
  <c r="D9" i="1"/>
  <c r="K23" i="1" l="1"/>
  <c r="K21" i="1"/>
  <c r="E48" i="1"/>
  <c r="E49" i="1" s="1"/>
  <c r="J23" i="1"/>
  <c r="J21" i="1"/>
  <c r="H48" i="1"/>
  <c r="H49" i="1" s="1"/>
  <c r="J20" i="1"/>
  <c r="K20" i="1"/>
  <c r="I56" i="1"/>
  <c r="C66" i="1" s="1"/>
  <c r="J80" i="1" s="1"/>
  <c r="E18" i="1"/>
  <c r="D16" i="1"/>
  <c r="H18" i="1"/>
  <c r="I61" i="1"/>
  <c r="H47" i="1"/>
  <c r="I20" i="1"/>
  <c r="I19" i="1"/>
  <c r="I24" i="1"/>
  <c r="I22" i="1"/>
  <c r="I25" i="1"/>
  <c r="I23" i="1"/>
  <c r="I21" i="1"/>
  <c r="D18" i="1" l="1"/>
  <c r="J18" i="1"/>
  <c r="E26" i="1"/>
  <c r="J26" i="1" s="1"/>
  <c r="G18" i="1"/>
  <c r="K18" i="1"/>
  <c r="C65" i="1"/>
  <c r="H26" i="1"/>
  <c r="D66" i="1"/>
  <c r="F66" i="1" s="1"/>
  <c r="H66" i="1"/>
  <c r="I66" i="1" s="1"/>
  <c r="D26" i="1"/>
  <c r="C67" i="1"/>
  <c r="G26" i="1" l="1"/>
  <c r="K26" i="1"/>
  <c r="H65" i="1"/>
  <c r="I65" i="1" s="1"/>
  <c r="K80" i="1"/>
  <c r="D65" i="1"/>
  <c r="D67" i="1"/>
  <c r="F65" i="1"/>
  <c r="F67" i="1" s="1"/>
</calcChain>
</file>

<file path=xl/sharedStrings.xml><?xml version="1.0" encoding="utf-8"?>
<sst xmlns="http://schemas.openxmlformats.org/spreadsheetml/2006/main" count="116" uniqueCount="64">
  <si>
    <t>Technique</t>
  </si>
  <si>
    <t>Reconditionnement</t>
  </si>
  <si>
    <t>Réparation</t>
  </si>
  <si>
    <t>Mise en service</t>
  </si>
  <si>
    <t>Administratif</t>
  </si>
  <si>
    <t>Mise en place de contrat</t>
  </si>
  <si>
    <t>Facturation/relance</t>
  </si>
  <si>
    <t>Support téléphonique</t>
  </si>
  <si>
    <t>Clôture contrat</t>
  </si>
  <si>
    <t>Ressources consommées</t>
  </si>
  <si>
    <t>Nb d'inducteurs</t>
  </si>
  <si>
    <t>Coût par inducteur</t>
  </si>
  <si>
    <t>Coûts directs</t>
  </si>
  <si>
    <t>Coûts indirects</t>
  </si>
  <si>
    <t>Q</t>
  </si>
  <si>
    <t>CU</t>
  </si>
  <si>
    <t>Total</t>
  </si>
  <si>
    <t>Fixe</t>
  </si>
  <si>
    <t>Mobile</t>
  </si>
  <si>
    <t>Chiffre d'affaires</t>
  </si>
  <si>
    <t>Locations</t>
  </si>
  <si>
    <t>Résultat</t>
  </si>
  <si>
    <t>Contrôle</t>
  </si>
  <si>
    <t>Effectif</t>
  </si>
  <si>
    <t>Temps théorique</t>
  </si>
  <si>
    <t>Temps disponible</t>
  </si>
  <si>
    <t>Administration</t>
  </si>
  <si>
    <t>C/minute</t>
  </si>
  <si>
    <t>Alpha</t>
  </si>
  <si>
    <t>CD</t>
  </si>
  <si>
    <t>CI</t>
  </si>
  <si>
    <t>Admin.</t>
  </si>
  <si>
    <t>Techn.</t>
  </si>
  <si>
    <t>Sécaphy</t>
  </si>
  <si>
    <t>loc fixe</t>
  </si>
  <si>
    <t>loc mobile</t>
  </si>
  <si>
    <t>CA fixe</t>
  </si>
  <si>
    <t>CA mobile</t>
  </si>
  <si>
    <t>Profitabilité</t>
  </si>
  <si>
    <t>Temps utilisés</t>
  </si>
  <si>
    <t>Nombre</t>
  </si>
  <si>
    <t>Temps standard</t>
  </si>
  <si>
    <t>Temps inutilisés</t>
  </si>
  <si>
    <t>Temps valorisés</t>
  </si>
  <si>
    <t>Coût unit.</t>
  </si>
  <si>
    <t>Marge sur coûts directs</t>
  </si>
  <si>
    <t>CA total</t>
  </si>
  <si>
    <t>Marge s CD</t>
  </si>
  <si>
    <t>Coeff. Activité</t>
  </si>
  <si>
    <t>Quantité</t>
  </si>
  <si>
    <t>Par unité</t>
  </si>
  <si>
    <t>Sous-activité</t>
  </si>
  <si>
    <t>Résultat par produit (ABC)</t>
  </si>
  <si>
    <t>Résultat par client (TDABC)</t>
  </si>
  <si>
    <t>+ Coût de la sous-activité</t>
  </si>
  <si>
    <t>+ Coût direct des appareils non loués</t>
  </si>
  <si>
    <t>En TDABC</t>
  </si>
  <si>
    <t>Coût direct</t>
  </si>
  <si>
    <t>Admi</t>
  </si>
  <si>
    <t>Coût à la minute sans neutrliser la sous-activité</t>
  </si>
  <si>
    <t>Résultat TDABC</t>
  </si>
  <si>
    <t>-Coût sous-activité des services</t>
  </si>
  <si>
    <t>-Coûts des appareils non loués</t>
  </si>
  <si>
    <t>= Résultat de comptabilité financière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</si>
</sst>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9" fontId="2" fillId="0" borderId="3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9" fontId="2" fillId="0" borderId="5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9" fontId="2" fillId="0" borderId="8" xfId="0" applyNumberFormat="1" applyFont="1" applyBorder="1" applyAlignment="1">
      <alignment horizontal="right"/>
    </xf>
    <xf numFmtId="3" fontId="0" fillId="0" borderId="0" xfId="0" applyNumberFormat="1"/>
    <xf numFmtId="3" fontId="2" fillId="0" borderId="4" xfId="0" applyNumberFormat="1" applyFont="1" applyBorder="1" applyAlignment="1">
      <alignment horizontal="left"/>
    </xf>
    <xf numFmtId="4" fontId="0" fillId="0" borderId="0" xfId="0" applyNumberFormat="1"/>
    <xf numFmtId="0" fontId="1" fillId="0" borderId="0" xfId="0" applyFont="1"/>
    <xf numFmtId="10" fontId="0" fillId="0" borderId="0" xfId="0" applyNumberFormat="1"/>
    <xf numFmtId="0" fontId="0" fillId="0" borderId="10" xfId="0" applyBorder="1"/>
    <xf numFmtId="0" fontId="2" fillId="0" borderId="10" xfId="0" applyFont="1" applyBorder="1" applyAlignment="1">
      <alignment horizontal="left"/>
    </xf>
    <xf numFmtId="4" fontId="0" fillId="0" borderId="10" xfId="0" applyNumberFormat="1" applyBorder="1"/>
    <xf numFmtId="0" fontId="0" fillId="0" borderId="11" xfId="0" applyBorder="1"/>
    <xf numFmtId="0" fontId="2" fillId="0" borderId="11" xfId="0" applyFont="1" applyBorder="1" applyAlignment="1">
      <alignment horizontal="left"/>
    </xf>
    <xf numFmtId="4" fontId="0" fillId="0" borderId="11" xfId="0" applyNumberFormat="1" applyBorder="1"/>
    <xf numFmtId="0" fontId="0" fillId="0" borderId="12" xfId="0" applyBorder="1"/>
    <xf numFmtId="0" fontId="2" fillId="0" borderId="12" xfId="0" applyFont="1" applyBorder="1" applyAlignment="1">
      <alignment horizontal="left"/>
    </xf>
    <xf numFmtId="4" fontId="0" fillId="0" borderId="12" xfId="0" applyNumberFormat="1" applyBorder="1"/>
    <xf numFmtId="0" fontId="1" fillId="0" borderId="9" xfId="0" applyFont="1" applyBorder="1"/>
    <xf numFmtId="4" fontId="1" fillId="0" borderId="9" xfId="0" applyNumberFormat="1" applyFont="1" applyBorder="1"/>
    <xf numFmtId="0" fontId="0" fillId="0" borderId="9" xfId="0" applyBorder="1"/>
    <xf numFmtId="4" fontId="0" fillId="0" borderId="9" xfId="0" applyNumberFormat="1" applyBorder="1"/>
    <xf numFmtId="0" fontId="1" fillId="0" borderId="10" xfId="0" applyFont="1" applyBorder="1"/>
    <xf numFmtId="3" fontId="1" fillId="0" borderId="10" xfId="0" applyNumberFormat="1" applyFont="1" applyBorder="1"/>
    <xf numFmtId="0" fontId="1" fillId="0" borderId="12" xfId="0" applyFont="1" applyBorder="1"/>
    <xf numFmtId="164" fontId="0" fillId="0" borderId="0" xfId="0" applyNumberFormat="1"/>
    <xf numFmtId="0" fontId="3" fillId="0" borderId="0" xfId="0" applyFont="1" applyAlignment="1">
      <alignment horizontal="left"/>
    </xf>
    <xf numFmtId="164" fontId="1" fillId="0" borderId="0" xfId="0" applyNumberFormat="1" applyFont="1"/>
    <xf numFmtId="2" fontId="0" fillId="0" borderId="0" xfId="0" applyNumberFormat="1"/>
    <xf numFmtId="2" fontId="1" fillId="0" borderId="0" xfId="0" applyNumberFormat="1" applyFont="1"/>
    <xf numFmtId="165" fontId="0" fillId="0" borderId="0" xfId="1" applyNumberFormat="1" applyFont="1"/>
    <xf numFmtId="165" fontId="0" fillId="0" borderId="0" xfId="0" applyNumberFormat="1"/>
    <xf numFmtId="0" fontId="0" fillId="0" borderId="0" xfId="0" quotePrefix="1"/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6"/>
  <sheetViews>
    <sheetView tabSelected="1" topLeftCell="A42" zoomScale="150" zoomScaleNormal="150" workbookViewId="0">
      <selection activeCell="D7" sqref="D7"/>
    </sheetView>
  </sheetViews>
  <sheetFormatPr baseColWidth="10" defaultRowHeight="14.5" x14ac:dyDescent="0.35"/>
  <sheetData>
    <row r="1" spans="1:8" ht="15" thickBot="1" x14ac:dyDescent="0.4">
      <c r="D1" t="s">
        <v>9</v>
      </c>
      <c r="E1" t="s">
        <v>10</v>
      </c>
      <c r="F1" t="s">
        <v>11</v>
      </c>
    </row>
    <row r="2" spans="1:8" x14ac:dyDescent="0.35">
      <c r="A2" s="1" t="s">
        <v>0</v>
      </c>
      <c r="B2" s="2" t="s">
        <v>1</v>
      </c>
      <c r="C2" s="3">
        <v>0.15</v>
      </c>
      <c r="D2" s="10">
        <f>+C2*$A$3</f>
        <v>1950</v>
      </c>
      <c r="E2">
        <v>145</v>
      </c>
      <c r="F2" s="12">
        <f>+D2/E2</f>
        <v>13.448275862068966</v>
      </c>
    </row>
    <row r="3" spans="1:8" x14ac:dyDescent="0.35">
      <c r="A3" s="11">
        <v>13000</v>
      </c>
      <c r="B3" s="5" t="s">
        <v>2</v>
      </c>
      <c r="C3" s="6">
        <v>0.3</v>
      </c>
      <c r="D3" s="10">
        <f t="shared" ref="D3:D4" si="0">+C3*$A$3</f>
        <v>3900</v>
      </c>
      <c r="E3">
        <v>135</v>
      </c>
      <c r="F3" s="12">
        <f t="shared" ref="F3:F8" si="1">+D3/E3</f>
        <v>28.888888888888889</v>
      </c>
    </row>
    <row r="4" spans="1:8" ht="15" thickBot="1" x14ac:dyDescent="0.4">
      <c r="A4" s="7"/>
      <c r="B4" s="8" t="s">
        <v>3</v>
      </c>
      <c r="C4" s="9">
        <v>0.55000000000000004</v>
      </c>
      <c r="D4" s="10">
        <f t="shared" si="0"/>
        <v>7150.0000000000009</v>
      </c>
      <c r="E4">
        <v>195</v>
      </c>
      <c r="F4" s="12">
        <f t="shared" si="1"/>
        <v>36.666666666666671</v>
      </c>
    </row>
    <row r="5" spans="1:8" x14ac:dyDescent="0.35">
      <c r="A5" s="4" t="s">
        <v>4</v>
      </c>
      <c r="B5" s="5" t="s">
        <v>5</v>
      </c>
      <c r="C5" s="6">
        <v>0.3</v>
      </c>
      <c r="D5" s="10">
        <f>+C5*$A$6</f>
        <v>1650</v>
      </c>
      <c r="E5">
        <v>240</v>
      </c>
      <c r="F5" s="12">
        <f t="shared" si="1"/>
        <v>6.875</v>
      </c>
    </row>
    <row r="6" spans="1:8" x14ac:dyDescent="0.35">
      <c r="A6" s="11">
        <v>5500</v>
      </c>
      <c r="B6" s="5" t="s">
        <v>6</v>
      </c>
      <c r="C6" s="6">
        <v>0.15</v>
      </c>
      <c r="D6" s="10">
        <f t="shared" ref="D6:D8" si="2">+C6*$A$6</f>
        <v>825</v>
      </c>
      <c r="E6">
        <v>330</v>
      </c>
      <c r="F6" s="12">
        <f t="shared" si="1"/>
        <v>2.5</v>
      </c>
    </row>
    <row r="7" spans="1:8" x14ac:dyDescent="0.35">
      <c r="A7" s="4"/>
      <c r="B7" s="5" t="s">
        <v>7</v>
      </c>
      <c r="C7" s="6">
        <v>0.35</v>
      </c>
      <c r="D7" s="10">
        <f t="shared" si="2"/>
        <v>1924.9999999999998</v>
      </c>
      <c r="E7">
        <v>320</v>
      </c>
      <c r="F7" s="12">
        <f t="shared" si="1"/>
        <v>6.0156249999999991</v>
      </c>
    </row>
    <row r="8" spans="1:8" ht="15" thickBot="1" x14ac:dyDescent="0.4">
      <c r="A8" s="7"/>
      <c r="B8" s="8" t="s">
        <v>8</v>
      </c>
      <c r="C8" s="9">
        <v>0.2</v>
      </c>
      <c r="D8" s="10">
        <f t="shared" si="2"/>
        <v>1100</v>
      </c>
      <c r="E8">
        <v>180</v>
      </c>
      <c r="F8" s="12">
        <f t="shared" si="1"/>
        <v>6.1111111111111107</v>
      </c>
    </row>
    <row r="9" spans="1:8" x14ac:dyDescent="0.35">
      <c r="D9" s="10">
        <f>SUM(D2:D8)</f>
        <v>18500</v>
      </c>
    </row>
    <row r="10" spans="1:8" x14ac:dyDescent="0.35">
      <c r="D10" s="10"/>
    </row>
    <row r="11" spans="1:8" x14ac:dyDescent="0.35">
      <c r="C11" s="28"/>
      <c r="D11" s="29" t="s">
        <v>17</v>
      </c>
      <c r="E11" s="28"/>
      <c r="F11" s="28"/>
      <c r="G11" s="28" t="s">
        <v>18</v>
      </c>
      <c r="H11" s="28"/>
    </row>
    <row r="12" spans="1:8" x14ac:dyDescent="0.35">
      <c r="C12" s="30" t="s">
        <v>14</v>
      </c>
      <c r="D12" s="30" t="s">
        <v>15</v>
      </c>
      <c r="E12" s="30" t="s">
        <v>16</v>
      </c>
      <c r="F12" s="30" t="s">
        <v>14</v>
      </c>
      <c r="G12" s="30" t="s">
        <v>15</v>
      </c>
      <c r="H12" s="30" t="s">
        <v>16</v>
      </c>
    </row>
    <row r="13" spans="1:8" x14ac:dyDescent="0.35">
      <c r="A13" s="15" t="s">
        <v>19</v>
      </c>
      <c r="B13" s="16" t="s">
        <v>20</v>
      </c>
      <c r="C13" s="15">
        <v>450</v>
      </c>
      <c r="D13" s="17">
        <v>25</v>
      </c>
      <c r="E13" s="17">
        <f>+C13*D13</f>
        <v>11250</v>
      </c>
      <c r="F13" s="15">
        <v>750</v>
      </c>
      <c r="G13" s="17">
        <v>32</v>
      </c>
      <c r="H13" s="17">
        <f t="shared" ref="H13:H15" si="3">+F13*G13</f>
        <v>24000</v>
      </c>
    </row>
    <row r="14" spans="1:8" x14ac:dyDescent="0.35">
      <c r="A14" s="18"/>
      <c r="B14" s="19" t="s">
        <v>2</v>
      </c>
      <c r="C14" s="18">
        <f>+C20</f>
        <v>47</v>
      </c>
      <c r="D14" s="20">
        <v>12</v>
      </c>
      <c r="E14" s="20">
        <f>+C14*D14</f>
        <v>564</v>
      </c>
      <c r="F14" s="18">
        <f>+F20</f>
        <v>88</v>
      </c>
      <c r="G14" s="20">
        <v>14</v>
      </c>
      <c r="H14" s="20">
        <f t="shared" si="3"/>
        <v>1232</v>
      </c>
    </row>
    <row r="15" spans="1:8" x14ac:dyDescent="0.35">
      <c r="A15" s="21"/>
      <c r="B15" s="22" t="s">
        <v>3</v>
      </c>
      <c r="C15" s="21">
        <f>+C21</f>
        <v>75</v>
      </c>
      <c r="D15" s="23">
        <v>49</v>
      </c>
      <c r="E15" s="23">
        <f>+C15*D15</f>
        <v>3675</v>
      </c>
      <c r="F15" s="21">
        <f>+F21</f>
        <v>120</v>
      </c>
      <c r="G15" s="23">
        <v>69</v>
      </c>
      <c r="H15" s="23">
        <f t="shared" si="3"/>
        <v>8280</v>
      </c>
    </row>
    <row r="16" spans="1:8" x14ac:dyDescent="0.35">
      <c r="A16" s="24" t="s">
        <v>19</v>
      </c>
      <c r="B16" s="24"/>
      <c r="C16" s="24">
        <f>+C13</f>
        <v>450</v>
      </c>
      <c r="D16" s="25">
        <f>+E16/C16</f>
        <v>34.42</v>
      </c>
      <c r="E16" s="25">
        <f>SUM(E13:E15)</f>
        <v>15489</v>
      </c>
      <c r="F16" s="24">
        <f>+F13</f>
        <v>750</v>
      </c>
      <c r="G16" s="25">
        <f>+H16/F16</f>
        <v>44.68266666666667</v>
      </c>
      <c r="H16" s="25">
        <f>SUM(H13:H15)</f>
        <v>33512</v>
      </c>
    </row>
    <row r="17" spans="1:11" x14ac:dyDescent="0.35">
      <c r="A17" s="26" t="s">
        <v>12</v>
      </c>
      <c r="B17" s="26"/>
      <c r="C17" s="26">
        <v>500</v>
      </c>
      <c r="D17" s="27">
        <v>10</v>
      </c>
      <c r="E17" s="27">
        <f>+C17*D17</f>
        <v>5000</v>
      </c>
      <c r="F17" s="26">
        <v>850</v>
      </c>
      <c r="G17" s="27">
        <v>12.5</v>
      </c>
      <c r="H17" s="27">
        <f>+F17*G17</f>
        <v>10625</v>
      </c>
      <c r="I17" t="s">
        <v>22</v>
      </c>
    </row>
    <row r="18" spans="1:11" x14ac:dyDescent="0.35">
      <c r="A18" s="24" t="s">
        <v>45</v>
      </c>
      <c r="B18" s="24"/>
      <c r="C18" s="24">
        <f>+C16</f>
        <v>450</v>
      </c>
      <c r="D18" s="25">
        <f>+E18/C18</f>
        <v>23.308888888888887</v>
      </c>
      <c r="E18" s="25">
        <f>+E16-E17</f>
        <v>10489</v>
      </c>
      <c r="F18" s="24">
        <f>+F16</f>
        <v>750</v>
      </c>
      <c r="G18" s="25">
        <f>+H18/F18</f>
        <v>30.515999999999998</v>
      </c>
      <c r="H18" s="25">
        <f>+H16-H17</f>
        <v>22887</v>
      </c>
      <c r="J18" s="14">
        <f>+E18/E16</f>
        <v>0.67719026405836402</v>
      </c>
      <c r="K18" s="14">
        <f>+H18/H16</f>
        <v>0.68294939126283127</v>
      </c>
    </row>
    <row r="19" spans="1:11" x14ac:dyDescent="0.35">
      <c r="A19" s="15" t="s">
        <v>13</v>
      </c>
      <c r="B19" s="16" t="s">
        <v>1</v>
      </c>
      <c r="C19" s="15">
        <v>70</v>
      </c>
      <c r="D19" s="17">
        <f t="shared" ref="D19:D25" si="4">+F2</f>
        <v>13.448275862068966</v>
      </c>
      <c r="E19" s="17">
        <f>+C19*D19</f>
        <v>941.37931034482767</v>
      </c>
      <c r="F19" s="15">
        <v>75</v>
      </c>
      <c r="G19" s="17">
        <f>+D19</f>
        <v>13.448275862068966</v>
      </c>
      <c r="H19" s="17">
        <f>+F19*G19</f>
        <v>1008.6206896551724</v>
      </c>
      <c r="I19" s="12">
        <f t="shared" ref="I19:I25" si="5">+E19+H19-D2</f>
        <v>0</v>
      </c>
      <c r="J19" s="14">
        <f>+E19/E$16</f>
        <v>6.0777281318666644E-2</v>
      </c>
      <c r="K19" s="14">
        <f>+H19/H$16</f>
        <v>3.0097299166124743E-2</v>
      </c>
    </row>
    <row r="20" spans="1:11" x14ac:dyDescent="0.35">
      <c r="A20" s="18"/>
      <c r="B20" s="19" t="s">
        <v>2</v>
      </c>
      <c r="C20" s="18">
        <v>47</v>
      </c>
      <c r="D20" s="20">
        <f t="shared" si="4"/>
        <v>28.888888888888889</v>
      </c>
      <c r="E20" s="20">
        <f t="shared" ref="E20:E25" si="6">+C20*D20</f>
        <v>1357.7777777777778</v>
      </c>
      <c r="F20" s="18">
        <v>88</v>
      </c>
      <c r="G20" s="20">
        <f t="shared" ref="G20:G25" si="7">+D20</f>
        <v>28.888888888888889</v>
      </c>
      <c r="H20" s="20">
        <f t="shared" ref="H20:H25" si="8">+F20*G20</f>
        <v>2542.2222222222222</v>
      </c>
      <c r="I20" s="12">
        <f t="shared" si="5"/>
        <v>0</v>
      </c>
      <c r="J20" s="14">
        <f t="shared" ref="J20:J25" si="9">+E20/E$16</f>
        <v>8.7660777182373154E-2</v>
      </c>
      <c r="K20" s="14">
        <f t="shared" ref="K20:K25" si="10">+H20/H$16</f>
        <v>7.5860056762420094E-2</v>
      </c>
    </row>
    <row r="21" spans="1:11" x14ac:dyDescent="0.35">
      <c r="A21" s="18"/>
      <c r="B21" s="19" t="s">
        <v>3</v>
      </c>
      <c r="C21" s="18">
        <v>75</v>
      </c>
      <c r="D21" s="20">
        <f t="shared" si="4"/>
        <v>36.666666666666671</v>
      </c>
      <c r="E21" s="20">
        <f t="shared" si="6"/>
        <v>2750.0000000000005</v>
      </c>
      <c r="F21" s="18">
        <v>120</v>
      </c>
      <c r="G21" s="20">
        <f t="shared" si="7"/>
        <v>36.666666666666671</v>
      </c>
      <c r="H21" s="20">
        <f t="shared" si="8"/>
        <v>4400.0000000000009</v>
      </c>
      <c r="I21" s="12">
        <f t="shared" si="5"/>
        <v>0</v>
      </c>
      <c r="J21" s="14">
        <f t="shared" si="9"/>
        <v>0.17754535476789982</v>
      </c>
      <c r="K21" s="14">
        <f t="shared" si="10"/>
        <v>0.13129625208880405</v>
      </c>
    </row>
    <row r="22" spans="1:11" x14ac:dyDescent="0.35">
      <c r="A22" s="18"/>
      <c r="B22" s="19" t="s">
        <v>5</v>
      </c>
      <c r="C22" s="18">
        <v>110</v>
      </c>
      <c r="D22" s="20">
        <f t="shared" si="4"/>
        <v>6.875</v>
      </c>
      <c r="E22" s="20">
        <f t="shared" si="6"/>
        <v>756.25</v>
      </c>
      <c r="F22" s="18">
        <v>130</v>
      </c>
      <c r="G22" s="20">
        <f t="shared" si="7"/>
        <v>6.875</v>
      </c>
      <c r="H22" s="20">
        <f t="shared" si="8"/>
        <v>893.75</v>
      </c>
      <c r="I22" s="12">
        <f t="shared" si="5"/>
        <v>0</v>
      </c>
      <c r="J22" s="14">
        <f t="shared" si="9"/>
        <v>4.8824972561172443E-2</v>
      </c>
      <c r="K22" s="14">
        <f t="shared" si="10"/>
        <v>2.6669551205538315E-2</v>
      </c>
    </row>
    <row r="23" spans="1:11" x14ac:dyDescent="0.35">
      <c r="A23" s="18"/>
      <c r="B23" s="19" t="s">
        <v>6</v>
      </c>
      <c r="C23" s="18">
        <v>150</v>
      </c>
      <c r="D23" s="20">
        <f t="shared" si="4"/>
        <v>2.5</v>
      </c>
      <c r="E23" s="20">
        <f t="shared" si="6"/>
        <v>375</v>
      </c>
      <c r="F23" s="18">
        <v>180</v>
      </c>
      <c r="G23" s="20">
        <f t="shared" si="7"/>
        <v>2.5</v>
      </c>
      <c r="H23" s="20">
        <f t="shared" si="8"/>
        <v>450</v>
      </c>
      <c r="I23" s="12">
        <f t="shared" si="5"/>
        <v>0</v>
      </c>
      <c r="J23" s="14">
        <f t="shared" si="9"/>
        <v>2.4210730195622698E-2</v>
      </c>
      <c r="K23" s="14">
        <f t="shared" si="10"/>
        <v>1.3428025781809501E-2</v>
      </c>
    </row>
    <row r="24" spans="1:11" x14ac:dyDescent="0.35">
      <c r="A24" s="18"/>
      <c r="B24" s="19" t="s">
        <v>7</v>
      </c>
      <c r="C24" s="18">
        <v>20</v>
      </c>
      <c r="D24" s="20">
        <f t="shared" si="4"/>
        <v>6.0156249999999991</v>
      </c>
      <c r="E24" s="20">
        <f t="shared" si="6"/>
        <v>120.31249999999999</v>
      </c>
      <c r="F24" s="18">
        <v>300</v>
      </c>
      <c r="G24" s="20">
        <f t="shared" si="7"/>
        <v>6.0156249999999991</v>
      </c>
      <c r="H24" s="20">
        <f t="shared" si="8"/>
        <v>1804.6874999999998</v>
      </c>
      <c r="I24" s="12">
        <f t="shared" si="5"/>
        <v>0</v>
      </c>
      <c r="J24" s="14">
        <f t="shared" si="9"/>
        <v>7.7676092710956155E-3</v>
      </c>
      <c r="K24" s="14">
        <f t="shared" si="10"/>
        <v>5.3851978395798514E-2</v>
      </c>
    </row>
    <row r="25" spans="1:11" x14ac:dyDescent="0.35">
      <c r="A25" s="21"/>
      <c r="B25" s="22" t="s">
        <v>8</v>
      </c>
      <c r="C25" s="21">
        <v>80</v>
      </c>
      <c r="D25" s="23">
        <f t="shared" si="4"/>
        <v>6.1111111111111107</v>
      </c>
      <c r="E25" s="23">
        <f t="shared" si="6"/>
        <v>488.88888888888886</v>
      </c>
      <c r="F25" s="21">
        <v>100</v>
      </c>
      <c r="G25" s="23">
        <f t="shared" si="7"/>
        <v>6.1111111111111107</v>
      </c>
      <c r="H25" s="23">
        <f t="shared" si="8"/>
        <v>611.11111111111109</v>
      </c>
      <c r="I25" s="12">
        <f t="shared" si="5"/>
        <v>0</v>
      </c>
      <c r="J25" s="14">
        <f t="shared" si="9"/>
        <v>3.1563618625404403E-2</v>
      </c>
      <c r="K25" s="14">
        <f t="shared" si="10"/>
        <v>1.8235590567889447E-2</v>
      </c>
    </row>
    <row r="26" spans="1:11" x14ac:dyDescent="0.35">
      <c r="A26" s="24" t="s">
        <v>21</v>
      </c>
      <c r="B26" s="24"/>
      <c r="C26" s="24">
        <f>+C13</f>
        <v>450</v>
      </c>
      <c r="D26" s="25">
        <f>+E26/C26</f>
        <v>8.2208700510855692</v>
      </c>
      <c r="E26" s="25">
        <f>+E18-SUM(E19:E25)</f>
        <v>3699.391522988506</v>
      </c>
      <c r="F26" s="24">
        <f>+F13</f>
        <v>750</v>
      </c>
      <c r="G26" s="25">
        <f>+H26/F26</f>
        <v>14.902144636015322</v>
      </c>
      <c r="H26" s="25">
        <f>+H18-SUM(H19:H25)</f>
        <v>11176.608477011492</v>
      </c>
      <c r="J26" s="14">
        <f>+E26/E16</f>
        <v>0.23883992013612926</v>
      </c>
      <c r="K26" s="14">
        <f>+H26/H16</f>
        <v>0.33351063729444652</v>
      </c>
    </row>
    <row r="30" spans="1:11" x14ac:dyDescent="0.35">
      <c r="B30" t="s">
        <v>23</v>
      </c>
      <c r="C30" t="s">
        <v>24</v>
      </c>
      <c r="D30" t="s">
        <v>25</v>
      </c>
      <c r="E30" t="s">
        <v>9</v>
      </c>
      <c r="F30" t="s">
        <v>27</v>
      </c>
    </row>
    <row r="31" spans="1:11" x14ac:dyDescent="0.35">
      <c r="A31" t="s">
        <v>26</v>
      </c>
      <c r="B31">
        <v>2</v>
      </c>
      <c r="C31">
        <f>+B31*150*60</f>
        <v>18000</v>
      </c>
      <c r="D31">
        <f>+C31*0.8</f>
        <v>14400</v>
      </c>
      <c r="E31">
        <v>5500</v>
      </c>
      <c r="F31">
        <f>+E31/D31</f>
        <v>0.38194444444444442</v>
      </c>
    </row>
    <row r="32" spans="1:11" x14ac:dyDescent="0.35">
      <c r="A32" t="s">
        <v>0</v>
      </c>
      <c r="B32">
        <v>4</v>
      </c>
      <c r="C32">
        <f>+B32*150*60</f>
        <v>36000</v>
      </c>
      <c r="D32">
        <f>+C32*0.8</f>
        <v>28800</v>
      </c>
      <c r="E32">
        <v>13000</v>
      </c>
      <c r="F32">
        <f>+E32/D32</f>
        <v>0.4513888888888889</v>
      </c>
    </row>
    <row r="33" spans="1:8" x14ac:dyDescent="0.35">
      <c r="E33">
        <f>SUM(E31:E32)</f>
        <v>18500</v>
      </c>
    </row>
    <row r="34" spans="1:8" x14ac:dyDescent="0.35">
      <c r="D34" t="s">
        <v>28</v>
      </c>
      <c r="G34" t="s">
        <v>33</v>
      </c>
    </row>
    <row r="35" spans="1:8" x14ac:dyDescent="0.35">
      <c r="C35" t="s">
        <v>49</v>
      </c>
      <c r="D35" t="s">
        <v>50</v>
      </c>
      <c r="E35" t="s">
        <v>16</v>
      </c>
      <c r="F35" t="s">
        <v>49</v>
      </c>
      <c r="G35" t="s">
        <v>50</v>
      </c>
      <c r="H35" t="s">
        <v>16</v>
      </c>
    </row>
    <row r="36" spans="1:8" x14ac:dyDescent="0.35">
      <c r="A36" t="s">
        <v>36</v>
      </c>
      <c r="B36" s="5" t="s">
        <v>20</v>
      </c>
      <c r="D36" s="31">
        <v>25</v>
      </c>
      <c r="E36" s="34">
        <f t="shared" ref="E36:E41" si="11">+C36*D36</f>
        <v>0</v>
      </c>
      <c r="G36" s="31">
        <f>+D36</f>
        <v>25</v>
      </c>
      <c r="H36" s="34">
        <f t="shared" ref="H36:H41" si="12">+F36*G36</f>
        <v>0</v>
      </c>
    </row>
    <row r="37" spans="1:8" x14ac:dyDescent="0.35">
      <c r="A37" t="s">
        <v>36</v>
      </c>
      <c r="B37" s="5" t="s">
        <v>2</v>
      </c>
      <c r="D37" s="31">
        <v>12</v>
      </c>
      <c r="E37" s="34">
        <f t="shared" si="11"/>
        <v>0</v>
      </c>
      <c r="G37" s="31">
        <f t="shared" ref="G37:G41" si="13">+D37</f>
        <v>12</v>
      </c>
      <c r="H37" s="34">
        <f t="shared" si="12"/>
        <v>0</v>
      </c>
    </row>
    <row r="38" spans="1:8" x14ac:dyDescent="0.35">
      <c r="A38" t="s">
        <v>36</v>
      </c>
      <c r="B38" s="5" t="s">
        <v>3</v>
      </c>
      <c r="D38" s="31">
        <v>49</v>
      </c>
      <c r="E38" s="34">
        <f t="shared" si="11"/>
        <v>0</v>
      </c>
      <c r="G38" s="31">
        <f t="shared" si="13"/>
        <v>49</v>
      </c>
      <c r="H38" s="34">
        <f t="shared" si="12"/>
        <v>0</v>
      </c>
    </row>
    <row r="39" spans="1:8" x14ac:dyDescent="0.35">
      <c r="A39" t="s">
        <v>37</v>
      </c>
      <c r="B39" s="5" t="s">
        <v>20</v>
      </c>
      <c r="C39">
        <v>1</v>
      </c>
      <c r="D39" s="31">
        <v>32</v>
      </c>
      <c r="E39" s="34">
        <f t="shared" si="11"/>
        <v>32</v>
      </c>
      <c r="F39">
        <v>3</v>
      </c>
      <c r="G39" s="31">
        <f t="shared" si="13"/>
        <v>32</v>
      </c>
      <c r="H39" s="34">
        <f t="shared" si="12"/>
        <v>96</v>
      </c>
    </row>
    <row r="40" spans="1:8" x14ac:dyDescent="0.35">
      <c r="A40" t="s">
        <v>37</v>
      </c>
      <c r="B40" s="5" t="s">
        <v>2</v>
      </c>
      <c r="D40" s="31">
        <v>14</v>
      </c>
      <c r="E40" s="34">
        <f t="shared" si="11"/>
        <v>0</v>
      </c>
      <c r="G40" s="31">
        <f t="shared" si="13"/>
        <v>14</v>
      </c>
      <c r="H40" s="34">
        <f t="shared" si="12"/>
        <v>0</v>
      </c>
    </row>
    <row r="41" spans="1:8" x14ac:dyDescent="0.35">
      <c r="A41" t="s">
        <v>37</v>
      </c>
      <c r="B41" s="5" t="s">
        <v>3</v>
      </c>
      <c r="C41">
        <v>1</v>
      </c>
      <c r="D41" s="31">
        <v>69</v>
      </c>
      <c r="E41" s="34">
        <f t="shared" si="11"/>
        <v>69</v>
      </c>
      <c r="G41" s="31">
        <f t="shared" si="13"/>
        <v>69</v>
      </c>
      <c r="H41" s="34">
        <f t="shared" si="12"/>
        <v>0</v>
      </c>
    </row>
    <row r="42" spans="1:8" s="13" customFormat="1" x14ac:dyDescent="0.35">
      <c r="A42" s="13" t="s">
        <v>46</v>
      </c>
      <c r="B42" s="32"/>
      <c r="D42" s="33"/>
      <c r="E42" s="35">
        <f>SUM(E36:E41)</f>
        <v>101</v>
      </c>
      <c r="G42" s="33"/>
      <c r="H42" s="35">
        <f>SUM(H36:H41)</f>
        <v>96</v>
      </c>
    </row>
    <row r="43" spans="1:8" x14ac:dyDescent="0.35">
      <c r="A43" t="s">
        <v>29</v>
      </c>
      <c r="B43" t="s">
        <v>34</v>
      </c>
      <c r="D43" s="31">
        <v>10</v>
      </c>
      <c r="E43" s="34">
        <f t="shared" ref="E43:E44" si="14">+C43*D43</f>
        <v>0</v>
      </c>
      <c r="G43" s="31">
        <f>+D43</f>
        <v>10</v>
      </c>
      <c r="H43" s="34">
        <f>+F43*G43</f>
        <v>0</v>
      </c>
    </row>
    <row r="44" spans="1:8" x14ac:dyDescent="0.35">
      <c r="B44" t="s">
        <v>35</v>
      </c>
      <c r="C44">
        <v>1</v>
      </c>
      <c r="D44" s="31">
        <v>12.5</v>
      </c>
      <c r="E44" s="34">
        <f t="shared" si="14"/>
        <v>12.5</v>
      </c>
      <c r="F44">
        <v>3</v>
      </c>
      <c r="G44" s="31">
        <f>+D44</f>
        <v>12.5</v>
      </c>
      <c r="H44" s="34">
        <f>+F44*G44</f>
        <v>37.5</v>
      </c>
    </row>
    <row r="45" spans="1:8" s="13" customFormat="1" x14ac:dyDescent="0.35">
      <c r="A45" s="13" t="s">
        <v>47</v>
      </c>
      <c r="D45" s="33"/>
      <c r="E45" s="35">
        <f>+E42-E43-E44</f>
        <v>88.5</v>
      </c>
      <c r="G45" s="33"/>
      <c r="H45" s="35">
        <f>+H42-H43-H44</f>
        <v>58.5</v>
      </c>
    </row>
    <row r="46" spans="1:8" x14ac:dyDescent="0.35">
      <c r="A46" t="s">
        <v>30</v>
      </c>
      <c r="B46" t="s">
        <v>31</v>
      </c>
      <c r="C46">
        <v>69</v>
      </c>
      <c r="D46" s="31">
        <f>+F31</f>
        <v>0.38194444444444442</v>
      </c>
      <c r="E46" s="34">
        <f>+C46*D46</f>
        <v>26.354166666666664</v>
      </c>
      <c r="F46">
        <v>12</v>
      </c>
      <c r="G46" s="31">
        <f>+D46</f>
        <v>0.38194444444444442</v>
      </c>
      <c r="H46" s="34">
        <f t="shared" ref="H46:H47" si="15">+F46*G46</f>
        <v>4.583333333333333</v>
      </c>
    </row>
    <row r="47" spans="1:8" x14ac:dyDescent="0.35">
      <c r="B47" t="s">
        <v>32</v>
      </c>
      <c r="C47">
        <v>90</v>
      </c>
      <c r="D47" s="31">
        <f>+F32</f>
        <v>0.4513888888888889</v>
      </c>
      <c r="E47" s="34">
        <f>+C47*D47</f>
        <v>40.625</v>
      </c>
      <c r="F47">
        <v>0</v>
      </c>
      <c r="G47" s="31">
        <f>+D47</f>
        <v>0.4513888888888889</v>
      </c>
      <c r="H47" s="34">
        <f t="shared" si="15"/>
        <v>0</v>
      </c>
    </row>
    <row r="48" spans="1:8" x14ac:dyDescent="0.35">
      <c r="A48" s="13" t="s">
        <v>21</v>
      </c>
      <c r="B48" s="13"/>
      <c r="C48" s="13"/>
      <c r="D48" s="13"/>
      <c r="E48" s="35">
        <f>+E45-E46-E47</f>
        <v>21.520833333333336</v>
      </c>
      <c r="F48" s="13"/>
      <c r="G48" s="13"/>
      <c r="H48" s="35">
        <f>+H45-H46-H47</f>
        <v>53.916666666666664</v>
      </c>
    </row>
    <row r="49" spans="1:12" x14ac:dyDescent="0.35">
      <c r="A49" t="s">
        <v>38</v>
      </c>
      <c r="E49" s="36">
        <f>+E48/E42</f>
        <v>0.21307755775577561</v>
      </c>
      <c r="H49" s="37">
        <f>+H48/H42</f>
        <v>0.56163194444444442</v>
      </c>
    </row>
    <row r="51" spans="1:12" x14ac:dyDescent="0.35">
      <c r="A51" t="s">
        <v>39</v>
      </c>
      <c r="D51" t="s">
        <v>17</v>
      </c>
      <c r="G51" t="s">
        <v>18</v>
      </c>
    </row>
    <row r="52" spans="1:12" ht="15" thickBot="1" x14ac:dyDescent="0.4">
      <c r="C52" t="s">
        <v>40</v>
      </c>
      <c r="D52" t="s">
        <v>41</v>
      </c>
      <c r="E52" t="s">
        <v>16</v>
      </c>
      <c r="F52" t="s">
        <v>40</v>
      </c>
      <c r="G52" t="s">
        <v>41</v>
      </c>
      <c r="H52" t="s">
        <v>16</v>
      </c>
    </row>
    <row r="53" spans="1:12" x14ac:dyDescent="0.35">
      <c r="A53" t="s">
        <v>0</v>
      </c>
      <c r="B53" s="2" t="s">
        <v>1</v>
      </c>
      <c r="C53">
        <v>70</v>
      </c>
      <c r="D53">
        <v>45</v>
      </c>
      <c r="E53" s="10">
        <f>+D53*C53</f>
        <v>3150</v>
      </c>
      <c r="F53">
        <v>75</v>
      </c>
      <c r="G53">
        <v>110</v>
      </c>
      <c r="H53" s="10">
        <f>+G53*F53</f>
        <v>8250</v>
      </c>
    </row>
    <row r="54" spans="1:12" x14ac:dyDescent="0.35">
      <c r="B54" s="5" t="s">
        <v>2</v>
      </c>
      <c r="C54">
        <v>47</v>
      </c>
      <c r="D54">
        <v>25</v>
      </c>
      <c r="E54" s="10">
        <f t="shared" ref="E54:E60" si="16">+D54*C54</f>
        <v>1175</v>
      </c>
      <c r="F54">
        <v>88</v>
      </c>
      <c r="G54">
        <v>65</v>
      </c>
      <c r="H54" s="10">
        <f t="shared" ref="H54:H60" si="17">+G54*F54</f>
        <v>5720</v>
      </c>
    </row>
    <row r="55" spans="1:12" ht="15" thickBot="1" x14ac:dyDescent="0.4">
      <c r="B55" s="8" t="s">
        <v>3</v>
      </c>
      <c r="C55">
        <v>75</v>
      </c>
      <c r="D55">
        <v>20</v>
      </c>
      <c r="E55" s="10">
        <f t="shared" si="16"/>
        <v>1500</v>
      </c>
      <c r="F55">
        <v>120</v>
      </c>
      <c r="G55">
        <v>45</v>
      </c>
      <c r="H55" s="10">
        <f t="shared" si="17"/>
        <v>5400</v>
      </c>
    </row>
    <row r="56" spans="1:12" x14ac:dyDescent="0.35">
      <c r="B56" s="5"/>
      <c r="E56" s="10">
        <f>SUM(E53:E55)</f>
        <v>5825</v>
      </c>
      <c r="H56" s="10">
        <f>SUM(H53:H55)</f>
        <v>19370</v>
      </c>
      <c r="I56" s="10">
        <f>+H56+E56</f>
        <v>25195</v>
      </c>
    </row>
    <row r="57" spans="1:12" x14ac:dyDescent="0.35">
      <c r="A57" t="s">
        <v>4</v>
      </c>
      <c r="B57" s="5" t="s">
        <v>5</v>
      </c>
      <c r="C57">
        <v>110</v>
      </c>
      <c r="D57">
        <v>12</v>
      </c>
      <c r="E57" s="10">
        <f t="shared" si="16"/>
        <v>1320</v>
      </c>
      <c r="F57">
        <v>130</v>
      </c>
      <c r="G57">
        <v>12</v>
      </c>
      <c r="H57" s="10">
        <f t="shared" si="17"/>
        <v>1560</v>
      </c>
    </row>
    <row r="58" spans="1:12" x14ac:dyDescent="0.35">
      <c r="B58" s="5" t="s">
        <v>6</v>
      </c>
      <c r="C58">
        <v>150</v>
      </c>
      <c r="D58">
        <v>8</v>
      </c>
      <c r="E58" s="10">
        <f t="shared" si="16"/>
        <v>1200</v>
      </c>
      <c r="F58">
        <v>180</v>
      </c>
      <c r="G58">
        <v>8</v>
      </c>
      <c r="H58" s="10">
        <f t="shared" si="17"/>
        <v>1440</v>
      </c>
    </row>
    <row r="59" spans="1:12" x14ac:dyDescent="0.35">
      <c r="B59" s="5" t="s">
        <v>7</v>
      </c>
      <c r="C59">
        <v>20</v>
      </c>
      <c r="D59">
        <v>7</v>
      </c>
      <c r="E59" s="10">
        <f t="shared" si="16"/>
        <v>140</v>
      </c>
      <c r="F59">
        <v>300</v>
      </c>
      <c r="G59">
        <v>12</v>
      </c>
      <c r="H59" s="10">
        <f t="shared" si="17"/>
        <v>3600</v>
      </c>
    </row>
    <row r="60" spans="1:12" ht="15" thickBot="1" x14ac:dyDescent="0.4">
      <c r="B60" s="8" t="s">
        <v>8</v>
      </c>
      <c r="C60">
        <v>80</v>
      </c>
      <c r="D60">
        <v>25</v>
      </c>
      <c r="E60" s="10">
        <f t="shared" si="16"/>
        <v>2000</v>
      </c>
      <c r="F60">
        <v>100</v>
      </c>
      <c r="G60">
        <v>25</v>
      </c>
      <c r="H60" s="10">
        <f t="shared" si="17"/>
        <v>2500</v>
      </c>
    </row>
    <row r="61" spans="1:12" x14ac:dyDescent="0.35">
      <c r="E61" s="10">
        <f>SUM(E57:E60)</f>
        <v>4660</v>
      </c>
      <c r="H61" s="10">
        <f>SUM(H57:H60)</f>
        <v>9100</v>
      </c>
      <c r="I61" s="10">
        <f>+H61+E61</f>
        <v>13760</v>
      </c>
    </row>
    <row r="63" spans="1:12" x14ac:dyDescent="0.35">
      <c r="I63" s="10"/>
      <c r="J63" s="10"/>
      <c r="K63" s="12"/>
      <c r="L63" s="14"/>
    </row>
    <row r="64" spans="1:12" x14ac:dyDescent="0.35">
      <c r="B64" t="s">
        <v>25</v>
      </c>
      <c r="C64" t="s">
        <v>39</v>
      </c>
      <c r="D64" t="s">
        <v>42</v>
      </c>
      <c r="E64" t="s">
        <v>44</v>
      </c>
      <c r="F64" t="s">
        <v>43</v>
      </c>
      <c r="H64" t="s">
        <v>48</v>
      </c>
      <c r="I64" s="10" t="s">
        <v>51</v>
      </c>
      <c r="J64" s="10"/>
      <c r="K64" s="12"/>
      <c r="L64" s="14"/>
    </row>
    <row r="65" spans="1:16" x14ac:dyDescent="0.35">
      <c r="A65" t="s">
        <v>26</v>
      </c>
      <c r="B65" s="10">
        <v>14400</v>
      </c>
      <c r="C65" s="10">
        <f>+I61</f>
        <v>13760</v>
      </c>
      <c r="D65" s="10">
        <f>+B65-C65</f>
        <v>640</v>
      </c>
      <c r="E65" s="31">
        <f>+D46</f>
        <v>0.38194444444444442</v>
      </c>
      <c r="F65" s="12">
        <f>+D65*F31</f>
        <v>244.44444444444443</v>
      </c>
      <c r="H65" s="14">
        <f>+C65/B65</f>
        <v>0.9555555555555556</v>
      </c>
      <c r="I65" s="14">
        <f>1-H65</f>
        <v>4.4444444444444398E-2</v>
      </c>
      <c r="K65" s="12"/>
    </row>
    <row r="66" spans="1:16" x14ac:dyDescent="0.35">
      <c r="A66" t="s">
        <v>0</v>
      </c>
      <c r="B66" s="10">
        <v>28800</v>
      </c>
      <c r="C66" s="10">
        <f>+I56</f>
        <v>25195</v>
      </c>
      <c r="D66" s="10">
        <f>+B66-C66</f>
        <v>3605</v>
      </c>
      <c r="E66" s="31">
        <f>+D47</f>
        <v>0.4513888888888889</v>
      </c>
      <c r="F66" s="12">
        <f>+D66*D47</f>
        <v>1627.2569444444446</v>
      </c>
      <c r="H66" s="14">
        <f>+C66/B66</f>
        <v>0.87482638888888886</v>
      </c>
      <c r="I66" s="14">
        <f>1-H66</f>
        <v>0.12517361111111114</v>
      </c>
    </row>
    <row r="67" spans="1:16" x14ac:dyDescent="0.35">
      <c r="B67" s="10">
        <f>SUM(B65:B66)</f>
        <v>43200</v>
      </c>
      <c r="C67" s="10">
        <f t="shared" ref="C67:D67" si="18">SUM(C65:C66)</f>
        <v>38955</v>
      </c>
      <c r="D67" s="10">
        <f t="shared" si="18"/>
        <v>4245</v>
      </c>
      <c r="F67" s="12">
        <f>+F65+F66</f>
        <v>1871.7013888888889</v>
      </c>
    </row>
    <row r="71" spans="1:16" x14ac:dyDescent="0.35">
      <c r="G71" t="s">
        <v>52</v>
      </c>
    </row>
    <row r="72" spans="1:16" x14ac:dyDescent="0.35">
      <c r="H72" s="38" t="s">
        <v>54</v>
      </c>
      <c r="P72" s="38"/>
    </row>
    <row r="73" spans="1:16" x14ac:dyDescent="0.35">
      <c r="H73" s="38" t="s">
        <v>55</v>
      </c>
    </row>
    <row r="74" spans="1:16" x14ac:dyDescent="0.35">
      <c r="G74" t="s">
        <v>53</v>
      </c>
    </row>
    <row r="76" spans="1:16" x14ac:dyDescent="0.35">
      <c r="J76" t="s">
        <v>17</v>
      </c>
      <c r="K76" t="s">
        <v>18</v>
      </c>
    </row>
    <row r="77" spans="1:16" x14ac:dyDescent="0.35">
      <c r="H77" t="s">
        <v>56</v>
      </c>
      <c r="I77" t="s">
        <v>57</v>
      </c>
      <c r="J77">
        <f>500*10/450</f>
        <v>11.111111111111111</v>
      </c>
      <c r="K77">
        <f>12.5*850/750</f>
        <v>14.166666666666666</v>
      </c>
    </row>
    <row r="79" spans="1:16" x14ac:dyDescent="0.35">
      <c r="J79" t="s">
        <v>0</v>
      </c>
      <c r="K79" t="s">
        <v>58</v>
      </c>
    </row>
    <row r="80" spans="1:16" x14ac:dyDescent="0.35">
      <c r="H80" t="s">
        <v>59</v>
      </c>
      <c r="J80">
        <f>13000/C66</f>
        <v>0.51597539194284581</v>
      </c>
      <c r="K80">
        <f>5500/C65</f>
        <v>0.39970930232558138</v>
      </c>
    </row>
    <row r="83" spans="8:8" x14ac:dyDescent="0.35">
      <c r="H83" t="s">
        <v>60</v>
      </c>
    </row>
    <row r="84" spans="8:8" x14ac:dyDescent="0.35">
      <c r="H84" s="38" t="s">
        <v>61</v>
      </c>
    </row>
    <row r="85" spans="8:8" x14ac:dyDescent="0.35">
      <c r="H85" s="38" t="s">
        <v>62</v>
      </c>
    </row>
    <row r="86" spans="8:8" x14ac:dyDescent="0.35">
      <c r="H86" s="38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Cora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de La Villarmois</dc:creator>
  <cp:lastModifiedBy>olivier de-la-villarmois</cp:lastModifiedBy>
  <dcterms:created xsi:type="dcterms:W3CDTF">2014-03-29T10:11:20Z</dcterms:created>
  <dcterms:modified xsi:type="dcterms:W3CDTF">2025-07-02T08:28:33Z</dcterms:modified>
</cp:coreProperties>
</file>