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/>
  <mc:AlternateContent xmlns:mc="http://schemas.openxmlformats.org/markup-compatibility/2006">
    <mc:Choice Requires="x15">
      <x15ac:absPath xmlns:x15ac="http://schemas.microsoft.com/office/spreadsheetml/2010/11/ac" url="https://d.docs.live.net/b951a7935d7767d0/2-Recherche/Livres/ComprendreEtatsFinanciers-V3/CasPratiques/"/>
    </mc:Choice>
  </mc:AlternateContent>
  <xr:revisionPtr revIDLastSave="394" documentId="8_{770581ED-7039-8B42-912E-548C6E9339A8}" xr6:coauthVersionLast="47" xr6:coauthVersionMax="47" xr10:uidLastSave="{8A44BFD2-DFE7-1A40-80FC-58A12A9ADCC6}"/>
  <bookViews>
    <workbookView xWindow="19200" yWindow="500" windowWidth="19200" windowHeight="19980" firstSheet="4" activeTab="4" xr2:uid="{B0793D93-564C-684B-8283-225BEC603E12}"/>
  </bookViews>
  <sheets>
    <sheet name="1" sheetId="1" r:id="rId1"/>
    <sheet name="2" sheetId="2" r:id="rId2"/>
    <sheet name="3" sheetId="3" r:id="rId3"/>
    <sheet name="4" sheetId="4" r:id="rId4"/>
    <sheet name="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5" l="1"/>
  <c r="D61" i="5"/>
  <c r="B66" i="5" s="1"/>
  <c r="E8" i="5"/>
  <c r="E9" i="5"/>
  <c r="E10" i="5"/>
  <c r="E11" i="5"/>
  <c r="E12" i="5"/>
  <c r="E13" i="5"/>
  <c r="E14" i="5"/>
  <c r="E15" i="5"/>
  <c r="E7" i="5"/>
  <c r="E16" i="5" s="1"/>
  <c r="D32" i="4"/>
  <c r="D31" i="4"/>
  <c r="D33" i="4" s="1"/>
  <c r="B24" i="4"/>
  <c r="B25" i="4" s="1"/>
  <c r="B23" i="4"/>
  <c r="B26" i="4" s="1"/>
  <c r="D35" i="4" s="1"/>
  <c r="E20" i="4"/>
  <c r="D10" i="4"/>
  <c r="D9" i="4"/>
  <c r="D11" i="4" s="1"/>
  <c r="D14" i="4" s="1"/>
  <c r="B127" i="3"/>
  <c r="E120" i="3"/>
  <c r="D134" i="3" s="1"/>
  <c r="D135" i="3" s="1"/>
  <c r="E119" i="3"/>
  <c r="B133" i="3" s="1"/>
  <c r="B135" i="3" s="1"/>
  <c r="D117" i="3"/>
  <c r="D113" i="3"/>
  <c r="D114" i="3" s="1"/>
  <c r="B112" i="3"/>
  <c r="B114" i="3" s="1"/>
  <c r="B106" i="3"/>
  <c r="F99" i="3"/>
  <c r="D97" i="3"/>
  <c r="B95" i="3"/>
  <c r="B97" i="3" s="1"/>
  <c r="E83" i="3"/>
  <c r="D80" i="3"/>
  <c r="B78" i="3"/>
  <c r="B80" i="3" s="1"/>
  <c r="E53" i="3"/>
  <c r="B66" i="3" s="1"/>
  <c r="B68" i="3" s="1"/>
  <c r="B61" i="3"/>
  <c r="D65" i="3" s="1"/>
  <c r="B41" i="3"/>
  <c r="E54" i="3"/>
  <c r="D67" i="3" s="1"/>
  <c r="D47" i="3"/>
  <c r="D45" i="3"/>
  <c r="B46" i="3"/>
  <c r="B48" i="3" s="1"/>
  <c r="D51" i="3"/>
  <c r="F34" i="3"/>
  <c r="B30" i="3"/>
  <c r="B32" i="3" s="1"/>
  <c r="D32" i="3"/>
  <c r="E18" i="3"/>
  <c r="B13" i="3"/>
  <c r="B15" i="3" s="1"/>
  <c r="D15" i="3"/>
  <c r="B27" i="2"/>
  <c r="E25" i="2"/>
  <c r="B28" i="2" s="1"/>
  <c r="C13" i="2"/>
  <c r="C12" i="2"/>
  <c r="C14" i="2" s="1"/>
  <c r="D16" i="2" s="1"/>
  <c r="B21" i="2" s="1"/>
  <c r="C7" i="2"/>
  <c r="B38" i="1"/>
  <c r="D38" i="1"/>
  <c r="D49" i="1"/>
  <c r="D51" i="1" s="1"/>
  <c r="B50" i="1"/>
  <c r="B51" i="1" s="1"/>
  <c r="B14" i="1"/>
  <c r="B13" i="1"/>
  <c r="B12" i="1"/>
  <c r="B11" i="1"/>
  <c r="B10" i="1"/>
  <c r="B15" i="1" s="1"/>
  <c r="C22" i="1" s="1"/>
  <c r="E22" i="1" s="1"/>
  <c r="B23" i="1" s="1"/>
  <c r="C23" i="1" s="1"/>
  <c r="E23" i="1" s="1"/>
  <c r="B24" i="1" s="1"/>
  <c r="F8" i="1"/>
  <c r="C3" i="1"/>
  <c r="D68" i="3" l="1"/>
  <c r="C22" i="5"/>
  <c r="C23" i="5"/>
  <c r="C24" i="5"/>
  <c r="C25" i="5"/>
  <c r="C26" i="5"/>
  <c r="C27" i="5"/>
  <c r="C28" i="5"/>
  <c r="C29" i="5"/>
  <c r="C21" i="5"/>
  <c r="C30" i="5" s="1"/>
  <c r="D48" i="3"/>
  <c r="C24" i="1"/>
  <c r="E24" i="1" s="1"/>
  <c r="B25" i="1" s="1"/>
  <c r="B47" i="5" l="1"/>
  <c r="E47" i="5" s="1"/>
  <c r="B48" i="5" s="1"/>
  <c r="D37" i="5"/>
  <c r="D40" i="5" s="1"/>
  <c r="B37" i="5"/>
  <c r="C25" i="1"/>
  <c r="E25" i="1"/>
  <c r="B26" i="1" s="1"/>
  <c r="C26" i="1"/>
  <c r="E26" i="1"/>
  <c r="B74" i="5" l="1"/>
  <c r="B77" i="5" s="1"/>
  <c r="B40" i="5"/>
  <c r="C48" i="5"/>
  <c r="E48" i="5" l="1"/>
  <c r="B49" i="5" s="1"/>
  <c r="C49" i="5" s="1"/>
  <c r="E49" i="5" l="1"/>
  <c r="B67" i="5"/>
  <c r="B69" i="5" s="1"/>
  <c r="D74" i="5" s="1"/>
  <c r="B50" i="5" l="1"/>
  <c r="C50" i="5" s="1"/>
  <c r="E50" i="5" s="1"/>
  <c r="B51" i="5" s="1"/>
  <c r="D75" i="5"/>
  <c r="D77" i="5" s="1"/>
  <c r="C51" i="5" l="1"/>
  <c r="E51" i="5"/>
  <c r="B52" i="5" s="1"/>
  <c r="C52" i="5" s="1"/>
  <c r="E52" i="5" s="1"/>
  <c r="B53" i="5" s="1"/>
  <c r="C53" i="5" s="1"/>
  <c r="E53" i="5" s="1"/>
  <c r="B54" i="5" s="1"/>
  <c r="C54" i="5" s="1"/>
  <c r="E54" i="5" s="1"/>
</calcChain>
</file>

<file path=xl/sharedStrings.xml><?xml version="1.0" encoding="utf-8"?>
<sst xmlns="http://schemas.openxmlformats.org/spreadsheetml/2006/main" count="276" uniqueCount="147">
  <si>
    <t>Question 1</t>
  </si>
  <si>
    <t>L'entreprice a reçu</t>
  </si>
  <si>
    <t>euros à l'émission</t>
  </si>
  <si>
    <t>Question 2</t>
  </si>
  <si>
    <t>Pour déterminer le taux actuariel, il faut positionner l'échéancier des flux</t>
  </si>
  <si>
    <t>L'amortissement étant constant, le montant du remboursement est de</t>
  </si>
  <si>
    <t>euros par an, à ajouter aux intérêts</t>
  </si>
  <si>
    <t>Emission</t>
  </si>
  <si>
    <t>Année 1</t>
  </si>
  <si>
    <t>Année 2</t>
  </si>
  <si>
    <t>Année 3</t>
  </si>
  <si>
    <t>Année 4</t>
  </si>
  <si>
    <t>Année 5</t>
  </si>
  <si>
    <t>TIE</t>
  </si>
  <si>
    <t>Question 3</t>
  </si>
  <si>
    <t>Les charges financières constaté chaque année seront calculées en appliquant le taux actuariel au capital restant dû (CRD) en début de période</t>
  </si>
  <si>
    <t>Année</t>
  </si>
  <si>
    <t>CRD début</t>
  </si>
  <si>
    <t>Charges financières</t>
  </si>
  <si>
    <t>Flux</t>
  </si>
  <si>
    <t>CRD fin</t>
  </si>
  <si>
    <t>Question 4</t>
  </si>
  <si>
    <t>À l'émission, le bilan comportera l'obligation au passif et un solde de trésorerie augmenté du montant perçu</t>
  </si>
  <si>
    <t>Actif</t>
  </si>
  <si>
    <t>Passif</t>
  </si>
  <si>
    <t>Obligations émises</t>
  </si>
  <si>
    <t>Trésorerie</t>
  </si>
  <si>
    <t>Total</t>
  </si>
  <si>
    <t>Question 5</t>
  </si>
  <si>
    <t>Après le premier flux, le capital restant dû sera de 7 864 671,23€ (cf. question 3).</t>
  </si>
  <si>
    <t>Le résultat sera diminué du montant des charges financières (464 671,23€, cf. question 3).</t>
  </si>
  <si>
    <t>La trésorerie sera diminué du flux décaissé (2 400 000€, cf. question 2)</t>
  </si>
  <si>
    <t>Résultat</t>
  </si>
  <si>
    <t>L'opération consiste à émettre 1 action nouvelle pour 4 anciennes</t>
  </si>
  <si>
    <t xml:space="preserve">Avant l'opération, le patrimoine d'un actionnaire détenant 4 actions était de </t>
  </si>
  <si>
    <t>Nombre d'actions</t>
  </si>
  <si>
    <t>Valeur unitaire</t>
  </si>
  <si>
    <t>Patrimoine</t>
  </si>
  <si>
    <t>Après l'opération, ce patrimoine devient</t>
  </si>
  <si>
    <t>La valeur unitaire d'une action est donc de</t>
  </si>
  <si>
    <t>euros</t>
  </si>
  <si>
    <t>L'opération devant être neutre pour l'ancien actionnaire, la valeur du droit de souscription (DS) est égale à la différence entre la valeur unitaire de l'action</t>
  </si>
  <si>
    <t>avant et après l'opération d'augmentation de capital.</t>
  </si>
  <si>
    <t>DS</t>
  </si>
  <si>
    <t xml:space="preserve">Grâce à l'opération, l'entité aura augmenté ses capitaux propres de </t>
  </si>
  <si>
    <t>Ce montant sera présenté en capital social pour le montant nominal des actions émises, en prime d'émission pour le solde</t>
  </si>
  <si>
    <t>Capital social</t>
  </si>
  <si>
    <t>Prime d'émission</t>
  </si>
  <si>
    <t>Les actions étant des instruments de capitaux propres, elles peuvent être présentées de deux manières</t>
  </si>
  <si>
    <t>- les variations de juste valeur sont enregistrées en résultat net : solution 1</t>
  </si>
  <si>
    <t>- les variations de juste valeur sont enregistrées en résultat global (capitaux propres) : solution 2</t>
  </si>
  <si>
    <t>Solution 1</t>
  </si>
  <si>
    <t>On notera JVPR les titres inscrits en juste valeur par le résultat net</t>
  </si>
  <si>
    <t>À l'origine, les titres sont inscrits au bilan en contrepartie du flux de leur paiement</t>
  </si>
  <si>
    <t>Titres - JVPR</t>
  </si>
  <si>
    <t xml:space="preserve">Le 30 juin, la variation de juste valeur du portefeuille est de : </t>
  </si>
  <si>
    <t>Ce montant est présenté en résultat net</t>
  </si>
  <si>
    <t>Charges</t>
  </si>
  <si>
    <t>Produits</t>
  </si>
  <si>
    <t>Variations JV</t>
  </si>
  <si>
    <t>Résultat net</t>
  </si>
  <si>
    <t>Le 25 juillet, l'acompte sur dividende est constaté en produits financiers pour</t>
  </si>
  <si>
    <t>Il est perçu en trésorerie</t>
  </si>
  <si>
    <t>Dividendes reçus</t>
  </si>
  <si>
    <t>Le 4 septembre, 40 000 titres valorisés à 10,87€ sont cédés pour 11,04€</t>
  </si>
  <si>
    <t>Le résultat de cession est donc de</t>
  </si>
  <si>
    <t>Il est enregistré en produits financiers.</t>
  </si>
  <si>
    <t>Le montant des titres est diminué de la valeur des titres cédés soit</t>
  </si>
  <si>
    <t>La trésorerie est augmentée de la contrepartie reçue soit</t>
  </si>
  <si>
    <t xml:space="preserve"> Charges </t>
  </si>
  <si>
    <t xml:space="preserve"> Produits </t>
  </si>
  <si>
    <t>Résultat cession</t>
  </si>
  <si>
    <t xml:space="preserve"> Variations JV </t>
  </si>
  <si>
    <t xml:space="preserve"> Dividendes reçus </t>
  </si>
  <si>
    <t xml:space="preserve"> Résultat net </t>
  </si>
  <si>
    <t xml:space="preserve"> Actif </t>
  </si>
  <si>
    <t xml:space="preserve"> Passif </t>
  </si>
  <si>
    <t xml:space="preserve"> Titres - JVPR </t>
  </si>
  <si>
    <t xml:space="preserve"> Trésorerie </t>
  </si>
  <si>
    <t xml:space="preserve"> Total </t>
  </si>
  <si>
    <t>Solution 2</t>
  </si>
  <si>
    <t>On notera JVPRG les titres inscrits en juste valeur par le résultat global</t>
  </si>
  <si>
    <t>Titres - JVPRG</t>
  </si>
  <si>
    <t>Ce montant est présenté en résultat global, qui figure au bilan dans les réserves</t>
  </si>
  <si>
    <t>Diminution du résultat global</t>
  </si>
  <si>
    <t>Augmentation du résultat global</t>
  </si>
  <si>
    <t>Résultat global</t>
  </si>
  <si>
    <t>Réserves</t>
  </si>
  <si>
    <t>Il est enregistré en résultat global</t>
  </si>
  <si>
    <t xml:space="preserve"> Titres - JVPRG</t>
  </si>
  <si>
    <t>Le résultat par action de base est égal au résultat net part du groupe</t>
  </si>
  <si>
    <t>Rapporté à la moyenne pondérée des actions en circulation</t>
  </si>
  <si>
    <t>On ne tient pas compte à ce stade des actions potentielles (obligation convertible)</t>
  </si>
  <si>
    <t>Le nombre moyen pondéré d'actions en circulation est</t>
  </si>
  <si>
    <t>Nombre</t>
  </si>
  <si>
    <t>Période</t>
  </si>
  <si>
    <t>Nombre pondéré</t>
  </si>
  <si>
    <t>Actions anciennes</t>
  </si>
  <si>
    <t>Actions nouvelles</t>
  </si>
  <si>
    <t>Moyenne pondérée</t>
  </si>
  <si>
    <t>actions</t>
  </si>
  <si>
    <t>Le résultat net est de 4 500 000 euros</t>
  </si>
  <si>
    <t>Le résultat par action de base est donc de</t>
  </si>
  <si>
    <t>Pour calculer le résultat par action dilué, il faut faire l'hypothèse que les obligations convertibles ont été</t>
  </si>
  <si>
    <t>converties en début d'exercice</t>
  </si>
  <si>
    <t xml:space="preserve">La conversion de ces obligations entrainerait la création de </t>
  </si>
  <si>
    <t>actions nouvelles</t>
  </si>
  <si>
    <t>Par ailleurs, si l'obligation était convertie, le résultat serait augmenté du montant de l'intérêt net d'impôt</t>
  </si>
  <si>
    <t>Résultat avant conversion</t>
  </si>
  <si>
    <t>Intérêts</t>
  </si>
  <si>
    <t>Economie d'impôt</t>
  </si>
  <si>
    <t>Résultat après conversion</t>
  </si>
  <si>
    <t>Le nombre moyen d'actions en circulation serait dans ce contexte de :</t>
  </si>
  <si>
    <t>Le résultat par action dilué est donc de</t>
  </si>
  <si>
    <t>Pour répondre à la question, il faut d'abord déterminer le montant de l'obligation locative.</t>
  </si>
  <si>
    <t>Pour cela, il convient de calcuer le taux d'intérêt implicite de l'opération, sur la base de la séquence des flux</t>
  </si>
  <si>
    <t>Juste valeur actif</t>
  </si>
  <si>
    <t>Loyer</t>
  </si>
  <si>
    <t>Valeur résiduelle</t>
  </si>
  <si>
    <t>L'obligation locative est égale à la valeur actuelle des paiements dus sur l'opération.</t>
  </si>
  <si>
    <t>Flux payés</t>
  </si>
  <si>
    <t>Valeur actuelle</t>
  </si>
  <si>
    <t>Obligation locative</t>
  </si>
  <si>
    <t>Le droit d'utilisation est égal dans notre exemple à l'obligation locative.</t>
  </si>
  <si>
    <t>À la mise en place de l'opération, le bilan se présente donc ainsi</t>
  </si>
  <si>
    <t>Droit d'utilisation</t>
  </si>
  <si>
    <t>Pour répondre à la question, il faut déterminer le tableau d'amortissement de l'obligation locative.</t>
  </si>
  <si>
    <t>Capital restant dû</t>
  </si>
  <si>
    <t>Intérêt</t>
  </si>
  <si>
    <t>Capital restant dû fin</t>
  </si>
  <si>
    <t>Date</t>
  </si>
  <si>
    <t>1/1/N</t>
  </si>
  <si>
    <t>30/06/N</t>
  </si>
  <si>
    <t>31/12/N</t>
  </si>
  <si>
    <t>30/6/N+1</t>
  </si>
  <si>
    <t>31/12/N+1</t>
  </si>
  <si>
    <t>30/06/N+2</t>
  </si>
  <si>
    <t>31/12/N+2</t>
  </si>
  <si>
    <t>30/06/N+3</t>
  </si>
  <si>
    <t>Au 31 décembre N, on aura donc :</t>
  </si>
  <si>
    <t>- réglé 14 011,52 + 12 280,63 d'intérêts, en contrepartie du résultat</t>
  </si>
  <si>
    <t>- remboursé 341 325,97 - 217 618,13 du capital de l'obligation en contrepartie de la trésorerie</t>
  </si>
  <si>
    <t>L'actif, dont la durée de vie est de 4 ans, aura été amorti pendant une année.</t>
  </si>
  <si>
    <t xml:space="preserve">La dotation aux amortissements est donc de : </t>
  </si>
  <si>
    <t>On a donc</t>
  </si>
  <si>
    <t>Dotations amortissements</t>
  </si>
  <si>
    <t>Charges d'intérêts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</si>
</sst>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_ * #,##0.00_)\ _€_ ;_ * \(#,##0.00\)\ _€_ ;_ * &quot;-&quot;??_)\ _€_ ;_ @_ "/>
  </numFmts>
  <fonts count="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0" xfId="1" applyFont="1"/>
    <xf numFmtId="164" fontId="0" fillId="0" borderId="0" xfId="1" applyFont="1"/>
    <xf numFmtId="10" fontId="0" fillId="0" borderId="0" xfId="1" applyNumberFormat="1" applyFont="1"/>
    <xf numFmtId="10" fontId="2" fillId="0" borderId="0" xfId="1" applyNumberFormat="1" applyFont="1"/>
    <xf numFmtId="164" fontId="0" fillId="0" borderId="2" xfId="1" applyFont="1" applyBorder="1"/>
    <xf numFmtId="164" fontId="0" fillId="0" borderId="1" xfId="1" applyFont="1" applyBorder="1" applyAlignment="1">
      <alignment horizontal="centerContinuous"/>
    </xf>
    <xf numFmtId="164" fontId="0" fillId="0" borderId="3" xfId="1" applyFont="1" applyBorder="1" applyAlignment="1">
      <alignment horizontal="centerContinuous"/>
    </xf>
    <xf numFmtId="0" fontId="0" fillId="0" borderId="0" xfId="0" quotePrefix="1"/>
    <xf numFmtId="0" fontId="3" fillId="0" borderId="0" xfId="0" applyFont="1"/>
    <xf numFmtId="164" fontId="3" fillId="0" borderId="1" xfId="0" applyNumberFormat="1" applyFont="1" applyBorder="1" applyAlignment="1">
      <alignment horizontal="centerContinuous"/>
    </xf>
    <xf numFmtId="164" fontId="3" fillId="0" borderId="4" xfId="0" applyNumberFormat="1" applyFont="1" applyBorder="1" applyAlignment="1">
      <alignment horizontal="centerContinuous"/>
    </xf>
    <xf numFmtId="164" fontId="3" fillId="0" borderId="0" xfId="0" applyNumberFormat="1" applyFont="1"/>
    <xf numFmtId="164" fontId="3" fillId="0" borderId="2" xfId="0" applyNumberFormat="1" applyFont="1" applyBorder="1"/>
    <xf numFmtId="164" fontId="4" fillId="0" borderId="0" xfId="0" applyNumberFormat="1" applyFont="1"/>
    <xf numFmtId="165" fontId="0" fillId="0" borderId="0" xfId="0" applyNumberFormat="1"/>
    <xf numFmtId="164" fontId="0" fillId="0" borderId="0" xfId="1" quotePrefix="1" applyFont="1"/>
    <xf numFmtId="164" fontId="2" fillId="0" borderId="2" xfId="1" applyFont="1" applyBorder="1"/>
  </cellXfs>
  <cellStyles count="2">
    <cellStyle name="Milliers" xfId="1" builtinId="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AC04E-9A5D-6F4F-B056-3EB29371A950}" name="Tableau1" displayName="Tableau1" ref="A21:E26" totalsRowShown="0" headerRowDxfId="6" dataDxfId="5" headerRowCellStyle="Milliers" dataCellStyle="Milliers">
  <autoFilter ref="A21:E26" xr:uid="{4ABAC04E-9A5D-6F4F-B056-3EB29371A950}"/>
  <tableColumns count="5">
    <tableColumn id="1" xr3:uid="{682866BB-22C7-CA4E-A18B-71AE88592015}" name="Année" dataDxfId="4" dataCellStyle="Milliers"/>
    <tableColumn id="2" xr3:uid="{390FC41D-1512-D546-AECE-436B487EA539}" name="CRD début" dataDxfId="3" dataCellStyle="Milliers">
      <calculatedColumnFormula>E21</calculatedColumnFormula>
    </tableColumn>
    <tableColumn id="3" xr3:uid="{6D32B315-6C38-DD40-A74C-6616FAFBB313}" name="Charges financières" dataDxfId="2" dataCellStyle="Milliers">
      <calculatedColumnFormula>B22*$B$15</calculatedColumnFormula>
    </tableColumn>
    <tableColumn id="4" xr3:uid="{3E139BC9-8839-0641-BDF1-70562E847B77}" name="Flux" dataDxfId="1" dataCellStyle="Milliers"/>
    <tableColumn id="5" xr3:uid="{09C8B735-FB1A-994B-B860-91507A1D1144}" name="CRD fin" dataDxfId="0" dataCellStyle="Milliers">
      <calculatedColumnFormula>B22+C22-D22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B116-90C0-C74A-9DFC-40A8324A0E94}">
  <dimension ref="A1:G51"/>
  <sheetViews>
    <sheetView topLeftCell="A15" workbookViewId="0">
      <selection activeCell="A46" sqref="A46:D51"/>
    </sheetView>
  </sheetViews>
  <sheetFormatPr defaultColWidth="10.875" defaultRowHeight="15.95"/>
  <cols>
    <col min="1" max="1" width="10.875" style="3"/>
    <col min="2" max="2" width="14.375" style="3" bestFit="1" customWidth="1"/>
    <col min="3" max="3" width="20.125" style="3" customWidth="1"/>
    <col min="4" max="6" width="12.625" style="3" bestFit="1" customWidth="1"/>
    <col min="7" max="16384" width="10.875" style="3"/>
  </cols>
  <sheetData>
    <row r="1" spans="1:7">
      <c r="A1" s="2" t="s">
        <v>0</v>
      </c>
    </row>
    <row r="3" spans="1:7">
      <c r="A3" s="3" t="s">
        <v>1</v>
      </c>
      <c r="C3" s="3">
        <f>98%*100000*100</f>
        <v>9800000</v>
      </c>
      <c r="D3" s="3" t="s">
        <v>2</v>
      </c>
    </row>
    <row r="5" spans="1:7">
      <c r="A5" s="2" t="s">
        <v>3</v>
      </c>
    </row>
    <row r="7" spans="1:7">
      <c r="A7" s="3" t="s">
        <v>4</v>
      </c>
    </row>
    <row r="8" spans="1:7">
      <c r="A8" s="3" t="s">
        <v>5</v>
      </c>
      <c r="F8" s="3">
        <f>10000000/5</f>
        <v>2000000</v>
      </c>
      <c r="G8" s="3" t="s">
        <v>6</v>
      </c>
    </row>
    <row r="9" spans="1:7">
      <c r="A9" s="3" t="s">
        <v>7</v>
      </c>
      <c r="B9" s="3">
        <v>9800000</v>
      </c>
    </row>
    <row r="10" spans="1:7">
      <c r="A10" s="3" t="s">
        <v>8</v>
      </c>
      <c r="B10" s="3">
        <f>-10000000*4%-2000000</f>
        <v>-2400000</v>
      </c>
    </row>
    <row r="11" spans="1:7">
      <c r="A11" s="3" t="s">
        <v>9</v>
      </c>
      <c r="B11" s="3">
        <f>-8000000*4%-2000000</f>
        <v>-2320000</v>
      </c>
    </row>
    <row r="12" spans="1:7">
      <c r="A12" s="3" t="s">
        <v>10</v>
      </c>
      <c r="B12" s="3">
        <f>-6000000*4%-2000000</f>
        <v>-2240000</v>
      </c>
    </row>
    <row r="13" spans="1:7">
      <c r="A13" s="3" t="s">
        <v>11</v>
      </c>
      <c r="B13" s="3">
        <f>-4000000*4%-2000000</f>
        <v>-2160000</v>
      </c>
    </row>
    <row r="14" spans="1:7">
      <c r="A14" s="3" t="s">
        <v>12</v>
      </c>
      <c r="B14" s="3">
        <f>-2000000*4%-2000000</f>
        <v>-2080000</v>
      </c>
    </row>
    <row r="15" spans="1:7">
      <c r="A15" s="2" t="s">
        <v>13</v>
      </c>
      <c r="B15" s="5">
        <f>IRR(B9:B14)</f>
        <v>4.7415431743207836E-2</v>
      </c>
    </row>
    <row r="17" spans="1:5">
      <c r="A17" s="2" t="s">
        <v>14</v>
      </c>
    </row>
    <row r="19" spans="1:5">
      <c r="A19" s="3" t="s">
        <v>15</v>
      </c>
    </row>
    <row r="21" spans="1:5">
      <c r="A21" s="3" t="s">
        <v>16</v>
      </c>
      <c r="B21" s="3" t="s">
        <v>17</v>
      </c>
      <c r="C21" s="3" t="s">
        <v>18</v>
      </c>
      <c r="D21" s="3" t="s">
        <v>19</v>
      </c>
      <c r="E21" s="3" t="s">
        <v>20</v>
      </c>
    </row>
    <row r="22" spans="1:5">
      <c r="A22" s="3">
        <v>1</v>
      </c>
      <c r="B22" s="3">
        <v>9800000</v>
      </c>
      <c r="C22" s="3">
        <f>B22*$B$15</f>
        <v>464671.23108343681</v>
      </c>
      <c r="D22" s="3">
        <v>2400000</v>
      </c>
      <c r="E22" s="3">
        <f>B22+C22-D22</f>
        <v>7864671.2310834359</v>
      </c>
    </row>
    <row r="23" spans="1:5">
      <c r="A23" s="3">
        <v>2</v>
      </c>
      <c r="B23" s="3">
        <f>E22</f>
        <v>7864671.2310834359</v>
      </c>
      <c r="C23" s="3">
        <f>B23*$B$15</f>
        <v>372906.781940207</v>
      </c>
      <c r="D23" s="3">
        <v>2320000</v>
      </c>
      <c r="E23" s="3">
        <f>B23+C23-D23</f>
        <v>5917578.0130236428</v>
      </c>
    </row>
    <row r="24" spans="1:5">
      <c r="A24" s="3">
        <v>3</v>
      </c>
      <c r="B24" s="3">
        <f t="shared" ref="B24:B26" si="0">E23</f>
        <v>5917578.0130236428</v>
      </c>
      <c r="C24" s="3">
        <f t="shared" ref="C24:C26" si="1">B24*$B$15</f>
        <v>280584.51636163</v>
      </c>
      <c r="D24" s="3">
        <v>2240000</v>
      </c>
      <c r="E24" s="3">
        <f t="shared" ref="E24:E26" si="2">B24+C24-D24</f>
        <v>3958162.5293852724</v>
      </c>
    </row>
    <row r="25" spans="1:5">
      <c r="A25" s="3">
        <v>4</v>
      </c>
      <c r="B25" s="3">
        <f t="shared" si="0"/>
        <v>3958162.5293852724</v>
      </c>
      <c r="C25" s="3">
        <f t="shared" si="1"/>
        <v>187677.98524059026</v>
      </c>
      <c r="D25" s="3">
        <v>2160000</v>
      </c>
      <c r="E25" s="3">
        <f t="shared" si="2"/>
        <v>1985840.5146258627</v>
      </c>
    </row>
    <row r="26" spans="1:5">
      <c r="A26" s="3">
        <v>5</v>
      </c>
      <c r="B26" s="3">
        <f t="shared" si="0"/>
        <v>1985840.5146258627</v>
      </c>
      <c r="C26" s="3">
        <f t="shared" si="1"/>
        <v>94159.485374139316</v>
      </c>
      <c r="D26" s="3">
        <v>2080000</v>
      </c>
      <c r="E26" s="3">
        <f t="shared" si="2"/>
        <v>2.0954757928848267E-9</v>
      </c>
    </row>
    <row r="28" spans="1:5">
      <c r="A28" s="2" t="s">
        <v>21</v>
      </c>
    </row>
    <row r="30" spans="1:5">
      <c r="A30" s="3" t="s">
        <v>22</v>
      </c>
    </row>
    <row r="33" spans="1:4">
      <c r="A33" s="7" t="s">
        <v>23</v>
      </c>
      <c r="B33" s="8"/>
      <c r="C33" s="7" t="s">
        <v>24</v>
      </c>
      <c r="D33" s="7"/>
    </row>
    <row r="34" spans="1:4">
      <c r="B34" s="6"/>
    </row>
    <row r="35" spans="1:4">
      <c r="B35" s="6"/>
    </row>
    <row r="36" spans="1:4">
      <c r="B36" s="6"/>
      <c r="C36" s="3" t="s">
        <v>25</v>
      </c>
      <c r="D36" s="3">
        <v>9800000</v>
      </c>
    </row>
    <row r="37" spans="1:4">
      <c r="A37" s="3" t="s">
        <v>26</v>
      </c>
      <c r="B37" s="6">
        <v>9800000</v>
      </c>
    </row>
    <row r="38" spans="1:4" s="2" customFormat="1">
      <c r="A38" s="2" t="s">
        <v>27</v>
      </c>
      <c r="B38" s="2">
        <f>SUM(B34:B37)</f>
        <v>9800000</v>
      </c>
      <c r="C38" s="2" t="s">
        <v>27</v>
      </c>
      <c r="D38" s="2">
        <f t="shared" ref="D38" si="3">SUM(D35:D37)</f>
        <v>9800000</v>
      </c>
    </row>
    <row r="40" spans="1:4">
      <c r="A40" s="2" t="s">
        <v>28</v>
      </c>
    </row>
    <row r="42" spans="1:4">
      <c r="A42" s="3" t="s">
        <v>29</v>
      </c>
    </row>
    <row r="43" spans="1:4">
      <c r="A43" s="3" t="s">
        <v>30</v>
      </c>
    </row>
    <row r="44" spans="1:4">
      <c r="A44" s="3" t="s">
        <v>31</v>
      </c>
    </row>
    <row r="46" spans="1:4">
      <c r="A46" s="7" t="s">
        <v>23</v>
      </c>
      <c r="B46" s="8"/>
      <c r="C46" s="7" t="s">
        <v>24</v>
      </c>
      <c r="D46" s="7"/>
    </row>
    <row r="47" spans="1:4">
      <c r="B47" s="6"/>
    </row>
    <row r="48" spans="1:4">
      <c r="B48" s="6"/>
      <c r="C48" s="3" t="s">
        <v>32</v>
      </c>
      <c r="D48" s="3">
        <v>-464671.23</v>
      </c>
    </row>
    <row r="49" spans="1:4">
      <c r="B49" s="6"/>
      <c r="C49" s="3" t="s">
        <v>25</v>
      </c>
      <c r="D49" s="3">
        <f>7864671.23</f>
        <v>7864671.2300000004</v>
      </c>
    </row>
    <row r="50" spans="1:4">
      <c r="A50" s="3" t="s">
        <v>26</v>
      </c>
      <c r="B50" s="6">
        <f>9800000-2400000</f>
        <v>7400000</v>
      </c>
    </row>
    <row r="51" spans="1:4">
      <c r="A51" s="2" t="s">
        <v>27</v>
      </c>
      <c r="B51" s="2">
        <f>SUM(B47:B50)</f>
        <v>7400000</v>
      </c>
      <c r="C51" s="2" t="s">
        <v>27</v>
      </c>
      <c r="D51" s="2">
        <f>SUM(D48:D50)</f>
        <v>7400000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0AF1-D28B-1C46-8BDF-3A37FCB11A25}">
  <dimension ref="A1:F28"/>
  <sheetViews>
    <sheetView workbookViewId="0">
      <selection activeCell="C29" sqref="C29"/>
    </sheetView>
  </sheetViews>
  <sheetFormatPr defaultColWidth="11" defaultRowHeight="15.95"/>
  <cols>
    <col min="1" max="1" width="16.125" customWidth="1"/>
    <col min="2" max="2" width="13" bestFit="1" customWidth="1"/>
    <col min="4" max="4" width="15.125" customWidth="1"/>
    <col min="5" max="5" width="12.625" bestFit="1" customWidth="1"/>
  </cols>
  <sheetData>
    <row r="1" spans="1:5">
      <c r="A1" s="1" t="s">
        <v>0</v>
      </c>
    </row>
    <row r="3" spans="1:5">
      <c r="A3" t="s">
        <v>33</v>
      </c>
    </row>
    <row r="4" spans="1:5">
      <c r="A4" t="s">
        <v>34</v>
      </c>
    </row>
    <row r="6" spans="1:5">
      <c r="A6" t="s">
        <v>35</v>
      </c>
      <c r="B6" t="s">
        <v>36</v>
      </c>
      <c r="C6" t="s">
        <v>37</v>
      </c>
    </row>
    <row r="7" spans="1:5">
      <c r="A7">
        <v>4</v>
      </c>
      <c r="B7">
        <v>16</v>
      </c>
      <c r="C7">
        <f>A7*B7</f>
        <v>64</v>
      </c>
    </row>
    <row r="9" spans="1:5">
      <c r="A9" t="s">
        <v>38</v>
      </c>
    </row>
    <row r="11" spans="1:5">
      <c r="A11" t="s">
        <v>35</v>
      </c>
      <c r="B11" t="s">
        <v>36</v>
      </c>
      <c r="C11" t="s">
        <v>37</v>
      </c>
    </row>
    <row r="12" spans="1:5">
      <c r="A12">
        <v>4</v>
      </c>
      <c r="B12">
        <v>16</v>
      </c>
      <c r="C12">
        <f>A12*B12</f>
        <v>64</v>
      </c>
    </row>
    <row r="13" spans="1:5">
      <c r="A13">
        <v>1</v>
      </c>
      <c r="B13">
        <v>15</v>
      </c>
      <c r="C13">
        <f>A13*B13</f>
        <v>15</v>
      </c>
    </row>
    <row r="14" spans="1:5">
      <c r="B14" s="1" t="s">
        <v>27</v>
      </c>
      <c r="C14" s="1">
        <f>C12+C13</f>
        <v>79</v>
      </c>
    </row>
    <row r="16" spans="1:5">
      <c r="A16" t="s">
        <v>39</v>
      </c>
      <c r="D16" s="3">
        <f>C14/5</f>
        <v>15.8</v>
      </c>
      <c r="E16" t="s">
        <v>40</v>
      </c>
    </row>
    <row r="18" spans="1:6">
      <c r="A18" t="s">
        <v>41</v>
      </c>
    </row>
    <row r="19" spans="1:6">
      <c r="A19" t="s">
        <v>42</v>
      </c>
    </row>
    <row r="21" spans="1:6">
      <c r="A21" t="s">
        <v>43</v>
      </c>
      <c r="B21" s="3">
        <f>16-D16</f>
        <v>0.19999999999999929</v>
      </c>
      <c r="C21" t="s">
        <v>40</v>
      </c>
    </row>
    <row r="23" spans="1:6">
      <c r="A23" s="1" t="s">
        <v>3</v>
      </c>
    </row>
    <row r="25" spans="1:6">
      <c r="A25" t="s">
        <v>44</v>
      </c>
      <c r="E25" s="3">
        <f>250000*15</f>
        <v>3750000</v>
      </c>
      <c r="F25" t="s">
        <v>40</v>
      </c>
    </row>
    <row r="26" spans="1:6">
      <c r="A26" t="s">
        <v>45</v>
      </c>
    </row>
    <row r="27" spans="1:6">
      <c r="A27" t="s">
        <v>46</v>
      </c>
      <c r="B27" s="3">
        <f>250000*10</f>
        <v>2500000</v>
      </c>
      <c r="C27" t="s">
        <v>40</v>
      </c>
    </row>
    <row r="28" spans="1:6">
      <c r="A28" t="s">
        <v>47</v>
      </c>
      <c r="B28" s="3">
        <f>E25-B27</f>
        <v>1250000</v>
      </c>
      <c r="C28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E365-99DF-CF40-B756-1B9F214E1C30}">
  <dimension ref="A1:G135"/>
  <sheetViews>
    <sheetView topLeftCell="A86" workbookViewId="0">
      <selection activeCell="A102" sqref="A102:D106"/>
    </sheetView>
  </sheetViews>
  <sheetFormatPr defaultColWidth="11" defaultRowHeight="15.95"/>
  <cols>
    <col min="1" max="1" width="15.5" customWidth="1"/>
    <col min="2" max="2" width="14.625" customWidth="1"/>
    <col min="3" max="3" width="15" customWidth="1"/>
    <col min="4" max="4" width="17" customWidth="1"/>
    <col min="5" max="5" width="12.625" bestFit="1" customWidth="1"/>
    <col min="6" max="6" width="11.375" bestFit="1" customWidth="1"/>
  </cols>
  <sheetData>
    <row r="1" spans="1:4">
      <c r="A1" t="s">
        <v>48</v>
      </c>
    </row>
    <row r="2" spans="1:4">
      <c r="B2" s="9" t="s">
        <v>49</v>
      </c>
    </row>
    <row r="3" spans="1:4">
      <c r="B3" s="9" t="s">
        <v>50</v>
      </c>
    </row>
    <row r="5" spans="1:4">
      <c r="A5" s="1" t="s">
        <v>51</v>
      </c>
    </row>
    <row r="7" spans="1:4">
      <c r="A7" t="s">
        <v>52</v>
      </c>
    </row>
    <row r="8" spans="1:4">
      <c r="A8" t="s">
        <v>53</v>
      </c>
    </row>
    <row r="10" spans="1:4">
      <c r="A10" s="7" t="s">
        <v>23</v>
      </c>
      <c r="B10" s="8"/>
      <c r="C10" s="7" t="s">
        <v>24</v>
      </c>
      <c r="D10" s="7"/>
    </row>
    <row r="11" spans="1:4">
      <c r="A11" s="3"/>
      <c r="B11" s="6"/>
      <c r="C11" s="3"/>
      <c r="D11" s="3"/>
    </row>
    <row r="12" spans="1:4">
      <c r="A12" s="3"/>
      <c r="B12" s="6"/>
      <c r="C12" s="3"/>
      <c r="D12" s="3"/>
    </row>
    <row r="13" spans="1:4">
      <c r="A13" s="3" t="s">
        <v>54</v>
      </c>
      <c r="B13" s="6">
        <f>100000*9.54</f>
        <v>953999.99999999988</v>
      </c>
      <c r="C13" s="3"/>
      <c r="D13" s="3"/>
    </row>
    <row r="14" spans="1:4">
      <c r="A14" s="3"/>
      <c r="B14" s="6"/>
      <c r="C14" s="3" t="s">
        <v>26</v>
      </c>
      <c r="D14" s="3">
        <v>954000</v>
      </c>
    </row>
    <row r="15" spans="1:4">
      <c r="A15" s="2" t="s">
        <v>27</v>
      </c>
      <c r="B15" s="2">
        <f>SUM(B11:B14)</f>
        <v>953999.99999999988</v>
      </c>
      <c r="C15" s="2" t="s">
        <v>27</v>
      </c>
      <c r="D15" s="2">
        <f t="shared" ref="D15" si="0">SUM(D12:D14)</f>
        <v>954000</v>
      </c>
    </row>
    <row r="18" spans="1:6">
      <c r="A18" t="s">
        <v>55</v>
      </c>
      <c r="E18" s="3">
        <f>(10.87-9.54)*100000</f>
        <v>133000</v>
      </c>
      <c r="F18" t="s">
        <v>40</v>
      </c>
    </row>
    <row r="19" spans="1:6">
      <c r="A19" t="s">
        <v>56</v>
      </c>
    </row>
    <row r="21" spans="1:6">
      <c r="A21" s="11" t="s">
        <v>57</v>
      </c>
      <c r="B21" s="12"/>
      <c r="C21" s="11" t="s">
        <v>58</v>
      </c>
      <c r="D21" s="11"/>
    </row>
    <row r="22" spans="1:6">
      <c r="A22" s="13"/>
      <c r="B22" s="14"/>
      <c r="C22" s="13"/>
      <c r="D22" s="13"/>
    </row>
    <row r="23" spans="1:6">
      <c r="A23" s="13"/>
      <c r="B23" s="14"/>
      <c r="C23" s="13"/>
      <c r="D23" s="13"/>
    </row>
    <row r="24" spans="1:6">
      <c r="A24" s="13"/>
      <c r="B24" s="14"/>
      <c r="C24" s="13" t="s">
        <v>59</v>
      </c>
      <c r="D24" s="13">
        <v>133000</v>
      </c>
    </row>
    <row r="25" spans="1:6">
      <c r="A25" s="13" t="s">
        <v>60</v>
      </c>
      <c r="B25" s="14">
        <v>133000</v>
      </c>
      <c r="C25" s="13"/>
      <c r="D25" s="13"/>
    </row>
    <row r="27" spans="1:6">
      <c r="A27" s="7" t="s">
        <v>23</v>
      </c>
      <c r="B27" s="8"/>
      <c r="C27" s="7" t="s">
        <v>24</v>
      </c>
      <c r="D27" s="7"/>
    </row>
    <row r="28" spans="1:6">
      <c r="A28" s="3"/>
      <c r="B28" s="6"/>
      <c r="C28" s="3"/>
      <c r="D28" s="3"/>
    </row>
    <row r="29" spans="1:6">
      <c r="A29" s="3"/>
      <c r="B29" s="6"/>
      <c r="C29" s="3" t="s">
        <v>60</v>
      </c>
      <c r="D29" s="3">
        <v>133000</v>
      </c>
    </row>
    <row r="30" spans="1:6">
      <c r="A30" s="3" t="s">
        <v>54</v>
      </c>
      <c r="B30" s="6">
        <f>100000*9.54+133000</f>
        <v>1087000</v>
      </c>
      <c r="C30" s="3"/>
      <c r="D30" s="3"/>
    </row>
    <row r="31" spans="1:6">
      <c r="A31" s="3"/>
      <c r="B31" s="6"/>
      <c r="C31" s="3" t="s">
        <v>26</v>
      </c>
      <c r="D31" s="3">
        <v>954000</v>
      </c>
    </row>
    <row r="32" spans="1:6">
      <c r="A32" s="2" t="s">
        <v>27</v>
      </c>
      <c r="B32" s="2">
        <f>SUM(B28:B31)</f>
        <v>1087000</v>
      </c>
      <c r="C32" s="2" t="s">
        <v>27</v>
      </c>
      <c r="D32" s="2">
        <f t="shared" ref="D32" si="1">SUM(D29:D31)</f>
        <v>1087000</v>
      </c>
    </row>
    <row r="34" spans="1:7">
      <c r="A34" t="s">
        <v>61</v>
      </c>
      <c r="F34" s="3">
        <f>1.52*100000</f>
        <v>152000</v>
      </c>
      <c r="G34" t="s">
        <v>40</v>
      </c>
    </row>
    <row r="35" spans="1:7">
      <c r="A35" t="s">
        <v>62</v>
      </c>
    </row>
    <row r="37" spans="1:7">
      <c r="A37" s="11" t="s">
        <v>57</v>
      </c>
      <c r="B37" s="12"/>
      <c r="C37" s="11" t="s">
        <v>58</v>
      </c>
      <c r="D37" s="11"/>
    </row>
    <row r="38" spans="1:7">
      <c r="A38" s="13"/>
      <c r="B38" s="14"/>
      <c r="C38" s="13"/>
      <c r="D38" s="13"/>
    </row>
    <row r="39" spans="1:7">
      <c r="A39" s="13"/>
      <c r="B39" s="14"/>
      <c r="C39" s="13" t="s">
        <v>59</v>
      </c>
      <c r="D39" s="13">
        <v>133000</v>
      </c>
    </row>
    <row r="40" spans="1:7">
      <c r="A40" s="13"/>
      <c r="B40" s="14"/>
      <c r="C40" s="13" t="s">
        <v>63</v>
      </c>
      <c r="D40" s="13">
        <v>152000</v>
      </c>
    </row>
    <row r="41" spans="1:7">
      <c r="A41" s="13" t="s">
        <v>60</v>
      </c>
      <c r="B41" s="14">
        <f>SUM(D39:D40)</f>
        <v>285000</v>
      </c>
      <c r="C41" s="13"/>
      <c r="D41" s="13"/>
    </row>
    <row r="43" spans="1:7">
      <c r="A43" s="7" t="s">
        <v>23</v>
      </c>
      <c r="B43" s="8"/>
      <c r="C43" s="7" t="s">
        <v>24</v>
      </c>
      <c r="D43" s="7"/>
    </row>
    <row r="44" spans="1:7">
      <c r="A44" s="3"/>
      <c r="B44" s="6"/>
      <c r="C44" s="3"/>
      <c r="D44" s="3"/>
    </row>
    <row r="45" spans="1:7">
      <c r="A45" s="3"/>
      <c r="B45" s="6"/>
      <c r="C45" s="3" t="s">
        <v>60</v>
      </c>
      <c r="D45" s="3">
        <f>133000+152000</f>
        <v>285000</v>
      </c>
    </row>
    <row r="46" spans="1:7">
      <c r="A46" s="3" t="s">
        <v>54</v>
      </c>
      <c r="B46" s="6">
        <f>100000*9.54+133000</f>
        <v>1087000</v>
      </c>
      <c r="C46" s="3"/>
      <c r="D46" s="3"/>
    </row>
    <row r="47" spans="1:7">
      <c r="A47" s="3"/>
      <c r="B47" s="6"/>
      <c r="C47" s="3" t="s">
        <v>26</v>
      </c>
      <c r="D47" s="3">
        <f>954000-152000</f>
        <v>802000</v>
      </c>
    </row>
    <row r="48" spans="1:7">
      <c r="A48" s="2" t="s">
        <v>27</v>
      </c>
      <c r="B48" s="2">
        <f>SUM(B44:B47)</f>
        <v>1087000</v>
      </c>
      <c r="C48" s="2" t="s">
        <v>27</v>
      </c>
      <c r="D48" s="2">
        <f t="shared" ref="D48" si="2">SUM(D45:D47)</f>
        <v>1087000</v>
      </c>
    </row>
    <row r="49" spans="1:6">
      <c r="A49" s="2"/>
      <c r="B49" s="2"/>
      <c r="C49" s="2"/>
      <c r="D49" s="2"/>
    </row>
    <row r="50" spans="1:6">
      <c r="A50" t="s">
        <v>64</v>
      </c>
    </row>
    <row r="51" spans="1:6">
      <c r="A51" t="s">
        <v>65</v>
      </c>
      <c r="D51" s="3">
        <f>40000*(11.04-10.87)</f>
        <v>6799.9999999999973</v>
      </c>
      <c r="E51" t="s">
        <v>40</v>
      </c>
    </row>
    <row r="52" spans="1:6">
      <c r="A52" t="s">
        <v>66</v>
      </c>
    </row>
    <row r="53" spans="1:6">
      <c r="A53" t="s">
        <v>67</v>
      </c>
      <c r="E53" s="3">
        <f>10.87*40000</f>
        <v>434799.99999999994</v>
      </c>
      <c r="F53" t="s">
        <v>40</v>
      </c>
    </row>
    <row r="54" spans="1:6">
      <c r="A54" t="s">
        <v>68</v>
      </c>
      <c r="E54" s="3">
        <f>11.04*40000</f>
        <v>441599.99999999994</v>
      </c>
      <c r="F54" t="s">
        <v>40</v>
      </c>
    </row>
    <row r="56" spans="1:6">
      <c r="A56" s="11" t="s">
        <v>69</v>
      </c>
      <c r="B56" s="12"/>
      <c r="C56" s="11" t="s">
        <v>70</v>
      </c>
      <c r="D56" s="11"/>
    </row>
    <row r="57" spans="1:6">
      <c r="A57" s="13"/>
      <c r="B57" s="14"/>
      <c r="C57" s="13"/>
      <c r="D57" s="13"/>
    </row>
    <row r="58" spans="1:6">
      <c r="A58" s="13"/>
      <c r="B58" s="14"/>
      <c r="C58" s="13" t="s">
        <v>71</v>
      </c>
      <c r="D58" s="13">
        <v>6800</v>
      </c>
    </row>
    <row r="59" spans="1:6">
      <c r="A59" s="13"/>
      <c r="B59" s="14"/>
      <c r="C59" s="13" t="s">
        <v>72</v>
      </c>
      <c r="D59" s="13">
        <v>133000</v>
      </c>
    </row>
    <row r="60" spans="1:6">
      <c r="A60" s="13"/>
      <c r="B60" s="14"/>
      <c r="C60" s="13" t="s">
        <v>73</v>
      </c>
      <c r="D60" s="13">
        <v>152000</v>
      </c>
    </row>
    <row r="61" spans="1:6">
      <c r="A61" s="13" t="s">
        <v>74</v>
      </c>
      <c r="B61" s="14">
        <f>SUM(D58:D60)</f>
        <v>291800</v>
      </c>
      <c r="C61" s="13"/>
      <c r="D61" s="13"/>
    </row>
    <row r="62" spans="1:6">
      <c r="A62" s="10"/>
      <c r="B62" s="10"/>
      <c r="C62" s="10"/>
      <c r="D62" s="10"/>
    </row>
    <row r="63" spans="1:6">
      <c r="A63" s="11" t="s">
        <v>75</v>
      </c>
      <c r="B63" s="12"/>
      <c r="C63" s="11" t="s">
        <v>76</v>
      </c>
      <c r="D63" s="11"/>
    </row>
    <row r="64" spans="1:6">
      <c r="A64" s="13"/>
      <c r="B64" s="14"/>
      <c r="C64" s="13"/>
      <c r="D64" s="13"/>
    </row>
    <row r="65" spans="1:5">
      <c r="A65" s="13"/>
      <c r="B65" s="14"/>
      <c r="C65" s="13" t="s">
        <v>74</v>
      </c>
      <c r="D65" s="13">
        <f>B61</f>
        <v>291800</v>
      </c>
      <c r="E65" s="16"/>
    </row>
    <row r="66" spans="1:5">
      <c r="A66" s="13" t="s">
        <v>77</v>
      </c>
      <c r="B66" s="14">
        <f>1087000-E53</f>
        <v>652200</v>
      </c>
      <c r="C66" s="13"/>
      <c r="D66" s="13"/>
    </row>
    <row r="67" spans="1:5">
      <c r="A67" s="13"/>
      <c r="B67" s="14"/>
      <c r="C67" s="13" t="s">
        <v>78</v>
      </c>
      <c r="D67" s="13">
        <f>802000-E54</f>
        <v>360400.00000000006</v>
      </c>
    </row>
    <row r="68" spans="1:5">
      <c r="A68" s="15" t="s">
        <v>79</v>
      </c>
      <c r="B68" s="15">
        <f>SUM(B65:B67)</f>
        <v>652200</v>
      </c>
      <c r="C68" s="15" t="s">
        <v>79</v>
      </c>
      <c r="D68" s="15">
        <f>SUM(D65:D67)</f>
        <v>652200</v>
      </c>
    </row>
    <row r="70" spans="1:5">
      <c r="A70" s="1" t="s">
        <v>80</v>
      </c>
    </row>
    <row r="72" spans="1:5">
      <c r="A72" t="s">
        <v>81</v>
      </c>
    </row>
    <row r="73" spans="1:5">
      <c r="A73" t="s">
        <v>53</v>
      </c>
    </row>
    <row r="75" spans="1:5">
      <c r="A75" s="7" t="s">
        <v>23</v>
      </c>
      <c r="B75" s="8"/>
      <c r="C75" s="7" t="s">
        <v>24</v>
      </c>
      <c r="D75" s="7"/>
    </row>
    <row r="76" spans="1:5">
      <c r="A76" s="3"/>
      <c r="B76" s="6"/>
      <c r="C76" s="3"/>
      <c r="D76" s="3"/>
    </row>
    <row r="77" spans="1:5">
      <c r="A77" s="3"/>
      <c r="B77" s="6"/>
      <c r="C77" s="3"/>
      <c r="D77" s="3"/>
    </row>
    <row r="78" spans="1:5">
      <c r="A78" s="3" t="s">
        <v>82</v>
      </c>
      <c r="B78" s="6">
        <f>100000*9.54</f>
        <v>953999.99999999988</v>
      </c>
      <c r="C78" s="3"/>
      <c r="D78" s="3"/>
    </row>
    <row r="79" spans="1:5">
      <c r="A79" s="3"/>
      <c r="B79" s="6"/>
      <c r="C79" s="3" t="s">
        <v>26</v>
      </c>
      <c r="D79" s="3">
        <v>954000</v>
      </c>
    </row>
    <row r="80" spans="1:5">
      <c r="A80" s="2" t="s">
        <v>27</v>
      </c>
      <c r="B80" s="2">
        <f>SUM(B76:B79)</f>
        <v>953999.99999999988</v>
      </c>
      <c r="C80" s="2" t="s">
        <v>27</v>
      </c>
      <c r="D80" s="2">
        <f t="shared" ref="D80" si="3">SUM(D77:D79)</f>
        <v>954000</v>
      </c>
    </row>
    <row r="83" spans="1:6">
      <c r="A83" t="s">
        <v>55</v>
      </c>
      <c r="E83" s="3">
        <f>(10.87-9.54)*100000</f>
        <v>133000</v>
      </c>
      <c r="F83" t="s">
        <v>40</v>
      </c>
    </row>
    <row r="84" spans="1:6">
      <c r="A84" t="s">
        <v>83</v>
      </c>
    </row>
    <row r="86" spans="1:6">
      <c r="A86" s="11" t="s">
        <v>84</v>
      </c>
      <c r="B86" s="12"/>
      <c r="C86" s="11" t="s">
        <v>85</v>
      </c>
      <c r="D86" s="11"/>
    </row>
    <row r="87" spans="1:6">
      <c r="A87" s="13"/>
      <c r="B87" s="14"/>
      <c r="C87" s="13"/>
      <c r="D87" s="13"/>
    </row>
    <row r="88" spans="1:6">
      <c r="A88" s="13"/>
      <c r="B88" s="14"/>
      <c r="C88" s="13"/>
      <c r="D88" s="13"/>
    </row>
    <row r="89" spans="1:6">
      <c r="A89" s="13"/>
      <c r="B89" s="14"/>
      <c r="C89" s="13" t="s">
        <v>59</v>
      </c>
      <c r="D89" s="13">
        <v>133000</v>
      </c>
    </row>
    <row r="90" spans="1:6">
      <c r="A90" s="13" t="s">
        <v>86</v>
      </c>
      <c r="B90" s="14">
        <v>133000</v>
      </c>
      <c r="C90" s="13"/>
      <c r="D90" s="13"/>
    </row>
    <row r="92" spans="1:6">
      <c r="A92" s="7" t="s">
        <v>23</v>
      </c>
      <c r="B92" s="8"/>
      <c r="C92" s="7" t="s">
        <v>24</v>
      </c>
      <c r="D92" s="7"/>
    </row>
    <row r="93" spans="1:6">
      <c r="A93" s="3"/>
      <c r="B93" s="6"/>
      <c r="C93" s="3"/>
      <c r="D93" s="3"/>
    </row>
    <row r="94" spans="1:6">
      <c r="A94" s="3"/>
      <c r="B94" s="6"/>
      <c r="C94" s="3" t="s">
        <v>87</v>
      </c>
      <c r="D94" s="3">
        <v>133000</v>
      </c>
    </row>
    <row r="95" spans="1:6">
      <c r="A95" s="3" t="s">
        <v>82</v>
      </c>
      <c r="B95" s="6">
        <f>100000*9.54+133000</f>
        <v>1087000</v>
      </c>
      <c r="C95" s="3"/>
      <c r="D95" s="3"/>
    </row>
    <row r="96" spans="1:6">
      <c r="A96" s="3"/>
      <c r="B96" s="6"/>
      <c r="C96" s="3" t="s">
        <v>26</v>
      </c>
      <c r="D96" s="3">
        <v>954000</v>
      </c>
    </row>
    <row r="97" spans="1:6">
      <c r="A97" s="2" t="s">
        <v>27</v>
      </c>
      <c r="B97" s="2">
        <f>SUM(B93:B96)</f>
        <v>1087000</v>
      </c>
      <c r="C97" s="2" t="s">
        <v>27</v>
      </c>
      <c r="D97" s="2">
        <f t="shared" ref="D97" si="4">SUM(D94:D96)</f>
        <v>1087000</v>
      </c>
    </row>
    <row r="99" spans="1:6">
      <c r="A99" t="s">
        <v>61</v>
      </c>
      <c r="F99" s="3">
        <f>1.52*100000</f>
        <v>152000</v>
      </c>
    </row>
    <row r="100" spans="1:6">
      <c r="A100" t="s">
        <v>62</v>
      </c>
    </row>
    <row r="102" spans="1:6">
      <c r="A102" s="11" t="s">
        <v>57</v>
      </c>
      <c r="B102" s="12"/>
      <c r="C102" s="11" t="s">
        <v>58</v>
      </c>
      <c r="D102" s="11"/>
    </row>
    <row r="103" spans="1:6">
      <c r="A103" s="13"/>
      <c r="B103" s="14"/>
      <c r="C103" s="13"/>
      <c r="D103" s="13"/>
    </row>
    <row r="104" spans="1:6">
      <c r="A104" s="13"/>
      <c r="B104" s="14"/>
      <c r="C104" s="13"/>
      <c r="D104" s="13"/>
    </row>
    <row r="105" spans="1:6">
      <c r="A105" s="13"/>
      <c r="B105" s="14"/>
      <c r="C105" s="13" t="s">
        <v>63</v>
      </c>
      <c r="D105" s="13">
        <v>152000</v>
      </c>
    </row>
    <row r="106" spans="1:6">
      <c r="A106" s="13" t="s">
        <v>60</v>
      </c>
      <c r="B106" s="14">
        <f>SUM(D104:D105)</f>
        <v>152000</v>
      </c>
      <c r="C106" s="13"/>
      <c r="D106" s="13"/>
    </row>
    <row r="108" spans="1:6">
      <c r="A108" s="7" t="s">
        <v>23</v>
      </c>
      <c r="B108" s="8"/>
      <c r="C108" s="7" t="s">
        <v>24</v>
      </c>
      <c r="D108" s="7"/>
    </row>
    <row r="109" spans="1:6">
      <c r="A109" s="3"/>
      <c r="B109" s="6"/>
      <c r="C109" s="3"/>
      <c r="D109" s="3"/>
    </row>
    <row r="110" spans="1:6">
      <c r="A110" s="3"/>
      <c r="B110" s="6"/>
      <c r="C110" s="3" t="s">
        <v>87</v>
      </c>
      <c r="D110" s="3">
        <v>133000</v>
      </c>
    </row>
    <row r="111" spans="1:6">
      <c r="A111" s="3"/>
      <c r="B111" s="6"/>
      <c r="C111" s="3" t="s">
        <v>60</v>
      </c>
      <c r="D111" s="3">
        <v>152000</v>
      </c>
    </row>
    <row r="112" spans="1:6">
      <c r="A112" s="3" t="s">
        <v>82</v>
      </c>
      <c r="B112" s="6">
        <f>100000*9.54+133000</f>
        <v>1087000</v>
      </c>
      <c r="C112" s="3"/>
      <c r="D112" s="3"/>
    </row>
    <row r="113" spans="1:6">
      <c r="A113" s="3"/>
      <c r="B113" s="6"/>
      <c r="C113" s="3" t="s">
        <v>26</v>
      </c>
      <c r="D113" s="3">
        <f>954000-152000</f>
        <v>802000</v>
      </c>
    </row>
    <row r="114" spans="1:6">
      <c r="A114" s="2" t="s">
        <v>27</v>
      </c>
      <c r="B114" s="2">
        <f>SUM(B109:B113)</f>
        <v>1087000</v>
      </c>
      <c r="C114" s="2" t="s">
        <v>27</v>
      </c>
      <c r="D114" s="2">
        <f>SUM(D110:D113)</f>
        <v>1087000</v>
      </c>
    </row>
    <row r="115" spans="1:6">
      <c r="A115" s="2"/>
      <c r="B115" s="2"/>
      <c r="C115" s="2"/>
      <c r="D115" s="2"/>
    </row>
    <row r="116" spans="1:6">
      <c r="A116" t="s">
        <v>64</v>
      </c>
    </row>
    <row r="117" spans="1:6">
      <c r="A117" t="s">
        <v>65</v>
      </c>
      <c r="D117" s="3">
        <f>40000*(11.04-10.87)</f>
        <v>6799.9999999999973</v>
      </c>
      <c r="E117" t="s">
        <v>40</v>
      </c>
    </row>
    <row r="118" spans="1:6">
      <c r="A118" t="s">
        <v>88</v>
      </c>
    </row>
    <row r="119" spans="1:6">
      <c r="A119" t="s">
        <v>67</v>
      </c>
      <c r="E119" s="3">
        <f>10.87*40000</f>
        <v>434799.99999999994</v>
      </c>
      <c r="F119" t="s">
        <v>40</v>
      </c>
    </row>
    <row r="120" spans="1:6">
      <c r="A120" t="s">
        <v>68</v>
      </c>
      <c r="E120" s="3">
        <f>11.04*40000</f>
        <v>441599.99999999994</v>
      </c>
      <c r="F120" t="s">
        <v>40</v>
      </c>
    </row>
    <row r="122" spans="1:6">
      <c r="A122" s="11" t="s">
        <v>84</v>
      </c>
      <c r="B122" s="12"/>
      <c r="C122" s="11" t="s">
        <v>85</v>
      </c>
      <c r="D122" s="11"/>
    </row>
    <row r="123" spans="1:6">
      <c r="A123" s="13"/>
      <c r="B123" s="14"/>
      <c r="C123" s="13"/>
      <c r="D123" s="13"/>
    </row>
    <row r="124" spans="1:6">
      <c r="A124" s="13"/>
      <c r="B124" s="14"/>
      <c r="C124" s="13" t="s">
        <v>71</v>
      </c>
      <c r="D124" s="13">
        <v>6800</v>
      </c>
    </row>
    <row r="125" spans="1:6">
      <c r="A125" s="13"/>
      <c r="B125" s="14"/>
      <c r="C125" s="13" t="s">
        <v>72</v>
      </c>
      <c r="D125" s="13">
        <v>133000</v>
      </c>
    </row>
    <row r="126" spans="1:6">
      <c r="A126" s="13"/>
      <c r="B126" s="14"/>
      <c r="C126" s="13"/>
      <c r="D126" s="13"/>
    </row>
    <row r="127" spans="1:6">
      <c r="A127" s="13" t="s">
        <v>86</v>
      </c>
      <c r="B127" s="14">
        <f>SUM(D124:D126)</f>
        <v>139800</v>
      </c>
      <c r="C127" s="13"/>
      <c r="D127" s="13"/>
    </row>
    <row r="128" spans="1:6">
      <c r="A128" s="10"/>
      <c r="B128" s="10"/>
      <c r="C128" s="10"/>
      <c r="D128" s="10"/>
    </row>
    <row r="129" spans="1:5">
      <c r="A129" s="11" t="s">
        <v>75</v>
      </c>
      <c r="B129" s="12"/>
      <c r="C129" s="11" t="s">
        <v>76</v>
      </c>
      <c r="D129" s="11"/>
    </row>
    <row r="130" spans="1:5">
      <c r="A130" s="13"/>
      <c r="B130" s="14"/>
      <c r="C130" s="13"/>
      <c r="D130" s="13"/>
    </row>
    <row r="131" spans="1:5">
      <c r="A131" s="13"/>
      <c r="B131" s="14"/>
      <c r="C131" s="13" t="s">
        <v>87</v>
      </c>
      <c r="D131" s="13">
        <v>139800</v>
      </c>
    </row>
    <row r="132" spans="1:5">
      <c r="A132" s="13"/>
      <c r="B132" s="14"/>
      <c r="C132" s="13" t="s">
        <v>74</v>
      </c>
      <c r="D132" s="13">
        <v>152000</v>
      </c>
      <c r="E132" s="16"/>
    </row>
    <row r="133" spans="1:5">
      <c r="A133" s="13" t="s">
        <v>89</v>
      </c>
      <c r="B133" s="14">
        <f>1087000-E119</f>
        <v>652200</v>
      </c>
      <c r="C133" s="13"/>
      <c r="D133" s="13"/>
    </row>
    <row r="134" spans="1:5">
      <c r="A134" s="13"/>
      <c r="B134" s="14"/>
      <c r="C134" s="13" t="s">
        <v>78</v>
      </c>
      <c r="D134" s="13">
        <f>802000-E120</f>
        <v>360400.00000000006</v>
      </c>
    </row>
    <row r="135" spans="1:5">
      <c r="A135" s="15" t="s">
        <v>79</v>
      </c>
      <c r="B135" s="15">
        <f>SUM(B132:B134)</f>
        <v>652200</v>
      </c>
      <c r="C135" s="15" t="s">
        <v>79</v>
      </c>
      <c r="D135" s="15">
        <f>SUM(D131:D134)</f>
        <v>652200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FF61-7228-7B44-B3AD-5B3172F30DBE}">
  <dimension ref="A1:F35"/>
  <sheetViews>
    <sheetView workbookViewId="0">
      <selection activeCell="E36" sqref="E36"/>
    </sheetView>
  </sheetViews>
  <sheetFormatPr defaultColWidth="10.875" defaultRowHeight="15.95"/>
  <cols>
    <col min="1" max="1" width="23.375" style="3" customWidth="1"/>
    <col min="2" max="2" width="13.625" style="3" bestFit="1" customWidth="1"/>
    <col min="3" max="3" width="11" style="3" bestFit="1" customWidth="1"/>
    <col min="4" max="4" width="14.625" style="3" bestFit="1" customWidth="1"/>
    <col min="5" max="5" width="12.625" style="3" bestFit="1" customWidth="1"/>
    <col min="6" max="16384" width="10.875" style="3"/>
  </cols>
  <sheetData>
    <row r="1" spans="1:5">
      <c r="A1" s="2" t="s">
        <v>0</v>
      </c>
    </row>
    <row r="3" spans="1:5">
      <c r="A3" s="3" t="s">
        <v>90</v>
      </c>
    </row>
    <row r="4" spans="1:5">
      <c r="A4" s="3" t="s">
        <v>91</v>
      </c>
    </row>
    <row r="5" spans="1:5">
      <c r="A5" s="3" t="s">
        <v>92</v>
      </c>
    </row>
    <row r="7" spans="1:5">
      <c r="A7" s="3" t="s">
        <v>93</v>
      </c>
    </row>
    <row r="8" spans="1:5">
      <c r="B8" s="3" t="s">
        <v>94</v>
      </c>
      <c r="C8" s="3" t="s">
        <v>95</v>
      </c>
      <c r="D8" s="3" t="s">
        <v>96</v>
      </c>
    </row>
    <row r="9" spans="1:5">
      <c r="A9" s="3" t="s">
        <v>97</v>
      </c>
      <c r="B9" s="3">
        <v>10000000</v>
      </c>
      <c r="C9" s="3">
        <v>12</v>
      </c>
      <c r="D9" s="3">
        <f>B9*C9</f>
        <v>120000000</v>
      </c>
    </row>
    <row r="10" spans="1:5">
      <c r="A10" s="3" t="s">
        <v>98</v>
      </c>
      <c r="B10" s="3">
        <v>1000000</v>
      </c>
      <c r="C10" s="3">
        <v>9</v>
      </c>
      <c r="D10" s="3">
        <f>B10*C10</f>
        <v>9000000</v>
      </c>
    </row>
    <row r="11" spans="1:5">
      <c r="A11" s="3" t="s">
        <v>99</v>
      </c>
      <c r="D11" s="3">
        <f>(D9+D10)/12</f>
        <v>10750000</v>
      </c>
      <c r="E11" s="3" t="s">
        <v>100</v>
      </c>
    </row>
    <row r="13" spans="1:5">
      <c r="A13" s="3" t="s">
        <v>101</v>
      </c>
    </row>
    <row r="14" spans="1:5">
      <c r="A14" s="3" t="s">
        <v>102</v>
      </c>
      <c r="D14" s="3">
        <f>4500000/D11</f>
        <v>0.41860465116279072</v>
      </c>
      <c r="E14" s="3" t="s">
        <v>40</v>
      </c>
    </row>
    <row r="16" spans="1:5">
      <c r="A16" s="2" t="s">
        <v>3</v>
      </c>
    </row>
    <row r="18" spans="1:6">
      <c r="A18" s="3" t="s">
        <v>103</v>
      </c>
    </row>
    <row r="19" spans="1:6">
      <c r="A19" s="3" t="s">
        <v>104</v>
      </c>
    </row>
    <row r="20" spans="1:6">
      <c r="A20" s="3" t="s">
        <v>105</v>
      </c>
      <c r="E20" s="3">
        <f>10000000/1000*100</f>
        <v>1000000</v>
      </c>
      <c r="F20" s="3" t="s">
        <v>106</v>
      </c>
    </row>
    <row r="21" spans="1:6">
      <c r="A21" s="3" t="s">
        <v>107</v>
      </c>
    </row>
    <row r="23" spans="1:6">
      <c r="A23" s="3" t="s">
        <v>108</v>
      </c>
      <c r="B23" s="3">
        <f>4500000</f>
        <v>4500000</v>
      </c>
    </row>
    <row r="24" spans="1:6">
      <c r="A24" s="3" t="s">
        <v>109</v>
      </c>
      <c r="B24" s="3">
        <f>10000000*0.03</f>
        <v>300000</v>
      </c>
    </row>
    <row r="25" spans="1:6">
      <c r="A25" s="3" t="s">
        <v>110</v>
      </c>
      <c r="B25" s="3">
        <f>-25%*B24</f>
        <v>-75000</v>
      </c>
    </row>
    <row r="26" spans="1:6">
      <c r="A26" s="3" t="s">
        <v>111</v>
      </c>
      <c r="B26" s="3">
        <f>SUM(B23:B25)</f>
        <v>4725000</v>
      </c>
    </row>
    <row r="28" spans="1:6">
      <c r="A28" s="3" t="s">
        <v>112</v>
      </c>
    </row>
    <row r="30" spans="1:6">
      <c r="B30" s="3" t="s">
        <v>94</v>
      </c>
      <c r="C30" s="3" t="s">
        <v>95</v>
      </c>
      <c r="D30" s="3" t="s">
        <v>96</v>
      </c>
    </row>
    <row r="31" spans="1:6">
      <c r="A31" s="3" t="s">
        <v>97</v>
      </c>
      <c r="B31" s="3">
        <v>11000000</v>
      </c>
      <c r="C31" s="3">
        <v>12</v>
      </c>
      <c r="D31" s="3">
        <f>B31*C31</f>
        <v>132000000</v>
      </c>
    </row>
    <row r="32" spans="1:6">
      <c r="A32" s="3" t="s">
        <v>98</v>
      </c>
      <c r="B32" s="3">
        <v>1000000</v>
      </c>
      <c r="C32" s="3">
        <v>9</v>
      </c>
      <c r="D32" s="3">
        <f>B32*C32</f>
        <v>9000000</v>
      </c>
    </row>
    <row r="33" spans="1:5">
      <c r="A33" s="3" t="s">
        <v>99</v>
      </c>
      <c r="D33" s="3">
        <f>(D31+D32)/12</f>
        <v>11750000</v>
      </c>
      <c r="E33" s="3" t="s">
        <v>100</v>
      </c>
    </row>
    <row r="35" spans="1:5">
      <c r="A35" s="3" t="s">
        <v>113</v>
      </c>
      <c r="D35" s="3">
        <f>B26/D33</f>
        <v>0.40212765957446811</v>
      </c>
      <c r="E35" s="3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B7CC-2581-2C4C-A849-07E4B25467DE}">
  <dimension ref="A1:F77"/>
  <sheetViews>
    <sheetView tabSelected="1" workbookViewId="0">
      <selection activeCell="H70" sqref="H70"/>
    </sheetView>
  </sheetViews>
  <sheetFormatPr defaultColWidth="10.875" defaultRowHeight="15.95"/>
  <cols>
    <col min="1" max="1" width="25.875" style="3" customWidth="1"/>
    <col min="2" max="2" width="16.375" style="3" customWidth="1"/>
    <col min="3" max="3" width="17.125" style="3" customWidth="1"/>
    <col min="4" max="4" width="15.375" style="3" bestFit="1" customWidth="1"/>
    <col min="5" max="5" width="18.625" style="3" bestFit="1" customWidth="1"/>
    <col min="6" max="16384" width="10.875" style="3"/>
  </cols>
  <sheetData>
    <row r="1" spans="1:5">
      <c r="A1" s="2" t="s">
        <v>0</v>
      </c>
    </row>
    <row r="3" spans="1:5">
      <c r="A3" s="3" t="s">
        <v>114</v>
      </c>
    </row>
    <row r="4" spans="1:5">
      <c r="A4" s="3" t="s">
        <v>115</v>
      </c>
    </row>
    <row r="6" spans="1:5">
      <c r="A6" s="3" t="s">
        <v>95</v>
      </c>
      <c r="B6" s="3" t="s">
        <v>116</v>
      </c>
      <c r="C6" s="3" t="s">
        <v>117</v>
      </c>
      <c r="D6" s="3" t="s">
        <v>118</v>
      </c>
      <c r="E6" s="3" t="s">
        <v>27</v>
      </c>
    </row>
    <row r="7" spans="1:5">
      <c r="A7" s="3">
        <v>0</v>
      </c>
      <c r="B7" s="3">
        <v>410000</v>
      </c>
      <c r="C7" s="3">
        <v>-50000</v>
      </c>
      <c r="E7" s="3">
        <f>SUM(B7:D7)</f>
        <v>360000</v>
      </c>
    </row>
    <row r="8" spans="1:5">
      <c r="A8" s="3">
        <v>1</v>
      </c>
      <c r="C8" s="3">
        <v>-50000</v>
      </c>
      <c r="E8" s="3">
        <f t="shared" ref="E8:E15" si="0">SUM(B8:D8)</f>
        <v>-50000</v>
      </c>
    </row>
    <row r="9" spans="1:5">
      <c r="A9" s="3">
        <v>2</v>
      </c>
      <c r="C9" s="3">
        <v>-50000</v>
      </c>
      <c r="E9" s="3">
        <f t="shared" si="0"/>
        <v>-50000</v>
      </c>
    </row>
    <row r="10" spans="1:5">
      <c r="A10" s="3">
        <v>3</v>
      </c>
      <c r="C10" s="3">
        <v>-50000</v>
      </c>
      <c r="E10" s="3">
        <f t="shared" si="0"/>
        <v>-50000</v>
      </c>
    </row>
    <row r="11" spans="1:5">
      <c r="A11" s="3">
        <v>4</v>
      </c>
      <c r="C11" s="3">
        <v>-50000</v>
      </c>
      <c r="E11" s="3">
        <f t="shared" si="0"/>
        <v>-50000</v>
      </c>
    </row>
    <row r="12" spans="1:5">
      <c r="A12" s="3">
        <v>5</v>
      </c>
      <c r="C12" s="3">
        <v>-50000</v>
      </c>
      <c r="E12" s="3">
        <f t="shared" si="0"/>
        <v>-50000</v>
      </c>
    </row>
    <row r="13" spans="1:5">
      <c r="A13" s="3">
        <v>6</v>
      </c>
      <c r="C13" s="3">
        <v>-50000</v>
      </c>
      <c r="E13" s="3">
        <f t="shared" si="0"/>
        <v>-50000</v>
      </c>
    </row>
    <row r="14" spans="1:5">
      <c r="A14" s="3">
        <v>7</v>
      </c>
      <c r="C14" s="3">
        <v>-50000</v>
      </c>
      <c r="E14" s="3">
        <f t="shared" si="0"/>
        <v>-50000</v>
      </c>
    </row>
    <row r="15" spans="1:5">
      <c r="A15" s="3">
        <v>8</v>
      </c>
      <c r="D15" s="3">
        <v>-100000</v>
      </c>
      <c r="E15" s="3">
        <f t="shared" si="0"/>
        <v>-100000</v>
      </c>
    </row>
    <row r="16" spans="1:5">
      <c r="E16" s="4">
        <f>IRR(E7:E15)</f>
        <v>4.8095691521355732E-2</v>
      </c>
    </row>
    <row r="18" spans="1:3">
      <c r="A18" s="3" t="s">
        <v>119</v>
      </c>
    </row>
    <row r="20" spans="1:3">
      <c r="B20" s="3" t="s">
        <v>120</v>
      </c>
      <c r="C20" s="3" t="s">
        <v>121</v>
      </c>
    </row>
    <row r="21" spans="1:3">
      <c r="A21" s="3">
        <v>0</v>
      </c>
      <c r="B21" s="3">
        <v>50000</v>
      </c>
      <c r="C21" s="3">
        <f>B21/(1+$E$16)^A21</f>
        <v>50000</v>
      </c>
    </row>
    <row r="22" spans="1:3">
      <c r="A22" s="3">
        <v>1</v>
      </c>
      <c r="B22" s="3">
        <v>50000</v>
      </c>
      <c r="C22" s="3">
        <f t="shared" ref="C22:C29" si="1">B22/(1+$E$16)^A22</f>
        <v>47705.567730578936</v>
      </c>
    </row>
    <row r="23" spans="1:3">
      <c r="A23" s="3">
        <v>2</v>
      </c>
      <c r="B23" s="3">
        <v>50000</v>
      </c>
      <c r="C23" s="3">
        <f t="shared" si="1"/>
        <v>45516.423849937077</v>
      </c>
    </row>
    <row r="24" spans="1:3">
      <c r="A24" s="3">
        <v>3</v>
      </c>
      <c r="B24" s="3">
        <v>50000</v>
      </c>
      <c r="C24" s="3">
        <f t="shared" si="1"/>
        <v>43427.736816538229</v>
      </c>
    </row>
    <row r="25" spans="1:3">
      <c r="A25" s="3">
        <v>4</v>
      </c>
      <c r="B25" s="3">
        <v>50000</v>
      </c>
      <c r="C25" s="3">
        <f t="shared" si="1"/>
        <v>41434.896801742419</v>
      </c>
    </row>
    <row r="26" spans="1:3">
      <c r="A26" s="3">
        <v>5</v>
      </c>
      <c r="B26" s="3">
        <v>50000</v>
      </c>
      <c r="C26" s="3">
        <f t="shared" si="1"/>
        <v>39533.505515701429</v>
      </c>
    </row>
    <row r="27" spans="1:3">
      <c r="A27" s="3">
        <v>6</v>
      </c>
      <c r="B27" s="3">
        <v>50000</v>
      </c>
      <c r="C27" s="3">
        <f t="shared" si="1"/>
        <v>37719.366500130207</v>
      </c>
    </row>
    <row r="28" spans="1:3">
      <c r="A28" s="3">
        <v>7</v>
      </c>
      <c r="B28" s="3">
        <v>50000</v>
      </c>
      <c r="C28" s="3">
        <f t="shared" si="1"/>
        <v>35988.475866529829</v>
      </c>
    </row>
    <row r="29" spans="1:3">
      <c r="A29" s="3">
        <v>8</v>
      </c>
      <c r="C29" s="3">
        <f t="shared" si="1"/>
        <v>0</v>
      </c>
    </row>
    <row r="30" spans="1:3">
      <c r="A30" s="3" t="s">
        <v>122</v>
      </c>
      <c r="C30" s="3">
        <f>SUM(C21:C29)</f>
        <v>341325.97308115812</v>
      </c>
    </row>
    <row r="32" spans="1:3">
      <c r="A32" s="3" t="s">
        <v>123</v>
      </c>
    </row>
    <row r="33" spans="1:6">
      <c r="A33" s="3" t="s">
        <v>124</v>
      </c>
    </row>
    <row r="35" spans="1:6">
      <c r="A35" s="7" t="s">
        <v>23</v>
      </c>
      <c r="B35" s="8"/>
      <c r="C35" s="7" t="s">
        <v>24</v>
      </c>
      <c r="D35" s="7"/>
    </row>
    <row r="36" spans="1:6">
      <c r="B36" s="6"/>
    </row>
    <row r="37" spans="1:6">
      <c r="A37" s="3" t="s">
        <v>125</v>
      </c>
      <c r="B37" s="6">
        <f>C30</f>
        <v>341325.97308115812</v>
      </c>
      <c r="C37" s="3" t="s">
        <v>122</v>
      </c>
      <c r="D37" s="3">
        <f>C30</f>
        <v>341325.97308115812</v>
      </c>
    </row>
    <row r="38" spans="1:6">
      <c r="B38" s="6"/>
    </row>
    <row r="39" spans="1:6">
      <c r="B39" s="6"/>
    </row>
    <row r="40" spans="1:6">
      <c r="A40" s="2" t="s">
        <v>27</v>
      </c>
      <c r="B40" s="2">
        <f>SUM(B36:B39)</f>
        <v>341325.97308115812</v>
      </c>
      <c r="C40" s="2" t="s">
        <v>27</v>
      </c>
      <c r="D40" s="2">
        <f>SUM(D37:D39)</f>
        <v>341325.97308115812</v>
      </c>
    </row>
    <row r="42" spans="1:6">
      <c r="A42" s="2" t="s">
        <v>3</v>
      </c>
    </row>
    <row r="44" spans="1:6">
      <c r="A44" s="3" t="s">
        <v>126</v>
      </c>
    </row>
    <row r="46" spans="1:6">
      <c r="A46" s="3" t="s">
        <v>95</v>
      </c>
      <c r="B46" s="3" t="s">
        <v>127</v>
      </c>
      <c r="C46" s="3" t="s">
        <v>128</v>
      </c>
      <c r="D46" s="3" t="s">
        <v>19</v>
      </c>
      <c r="E46" s="3" t="s">
        <v>129</v>
      </c>
      <c r="F46" s="3" t="s">
        <v>130</v>
      </c>
    </row>
    <row r="47" spans="1:6">
      <c r="A47" s="3">
        <v>0</v>
      </c>
      <c r="B47" s="3">
        <f>C30</f>
        <v>341325.97308115812</v>
      </c>
      <c r="C47" s="3">
        <v>0</v>
      </c>
      <c r="D47" s="3">
        <v>50000</v>
      </c>
      <c r="E47" s="3">
        <f>B47+C47-D47</f>
        <v>291325.97308115812</v>
      </c>
      <c r="F47" s="3" t="s">
        <v>131</v>
      </c>
    </row>
    <row r="48" spans="1:6">
      <c r="A48" s="3">
        <v>1</v>
      </c>
      <c r="B48" s="3">
        <f>E47</f>
        <v>291325.97308115812</v>
      </c>
      <c r="C48" s="3">
        <f>B48*$E$16</f>
        <v>14011.524133470166</v>
      </c>
      <c r="D48" s="3">
        <v>50000</v>
      </c>
      <c r="E48" s="3">
        <f>B48+C48-D48</f>
        <v>255337.49721462827</v>
      </c>
      <c r="F48" s="3" t="s">
        <v>132</v>
      </c>
    </row>
    <row r="49" spans="1:6">
      <c r="A49" s="3">
        <v>2</v>
      </c>
      <c r="B49" s="3">
        <f t="shared" ref="B49:B54" si="2">E48</f>
        <v>255337.49721462827</v>
      </c>
      <c r="C49" s="3">
        <f t="shared" ref="C49:C54" si="3">B49*$E$16</f>
        <v>12280.633499869789</v>
      </c>
      <c r="D49" s="3">
        <v>50000</v>
      </c>
      <c r="E49" s="3">
        <f t="shared" ref="E49:E54" si="4">B49+C49-D49</f>
        <v>217618.13071449805</v>
      </c>
      <c r="F49" s="3" t="s">
        <v>133</v>
      </c>
    </row>
    <row r="50" spans="1:6">
      <c r="A50" s="3">
        <v>3</v>
      </c>
      <c r="B50" s="3">
        <f t="shared" si="2"/>
        <v>217618.13071449805</v>
      </c>
      <c r="C50" s="3">
        <f t="shared" si="3"/>
        <v>10466.494484298568</v>
      </c>
      <c r="D50" s="3">
        <v>50000</v>
      </c>
      <c r="E50" s="3">
        <f t="shared" si="4"/>
        <v>178084.62519879662</v>
      </c>
      <c r="F50" s="3" t="s">
        <v>134</v>
      </c>
    </row>
    <row r="51" spans="1:6">
      <c r="A51" s="3">
        <v>4</v>
      </c>
      <c r="B51" s="3">
        <f t="shared" si="2"/>
        <v>178084.62519879662</v>
      </c>
      <c r="C51" s="3">
        <f t="shared" si="3"/>
        <v>8565.1031982575769</v>
      </c>
      <c r="D51" s="3">
        <v>50000</v>
      </c>
      <c r="E51" s="3">
        <f t="shared" si="4"/>
        <v>136649.72839705419</v>
      </c>
      <c r="F51" s="3" t="s">
        <v>135</v>
      </c>
    </row>
    <row r="52" spans="1:6">
      <c r="A52" s="3">
        <v>5</v>
      </c>
      <c r="B52" s="3">
        <f t="shared" si="2"/>
        <v>136649.72839705419</v>
      </c>
      <c r="C52" s="3">
        <f t="shared" si="3"/>
        <v>6572.2631834617632</v>
      </c>
      <c r="D52" s="3">
        <v>50000</v>
      </c>
      <c r="E52" s="3">
        <f t="shared" si="4"/>
        <v>93221.991580515954</v>
      </c>
      <c r="F52" s="3" t="s">
        <v>136</v>
      </c>
    </row>
    <row r="53" spans="1:6">
      <c r="A53" s="3">
        <v>6</v>
      </c>
      <c r="B53" s="3">
        <f t="shared" si="2"/>
        <v>93221.991580515954</v>
      </c>
      <c r="C53" s="3">
        <f t="shared" si="3"/>
        <v>4483.5761500629169</v>
      </c>
      <c r="D53" s="3">
        <v>50000</v>
      </c>
      <c r="E53" s="3">
        <f t="shared" si="4"/>
        <v>47705.56773057887</v>
      </c>
      <c r="F53" s="3" t="s">
        <v>137</v>
      </c>
    </row>
    <row r="54" spans="1:6">
      <c r="A54" s="3">
        <v>7</v>
      </c>
      <c r="B54" s="3">
        <f t="shared" si="2"/>
        <v>47705.56773057887</v>
      </c>
      <c r="C54" s="3">
        <f t="shared" si="3"/>
        <v>2294.4322694210637</v>
      </c>
      <c r="D54" s="3">
        <v>50000</v>
      </c>
      <c r="E54" s="3">
        <f t="shared" si="4"/>
        <v>-6.5483618527650833E-11</v>
      </c>
      <c r="F54" s="3" t="s">
        <v>138</v>
      </c>
    </row>
    <row r="56" spans="1:6">
      <c r="A56" s="3" t="s">
        <v>139</v>
      </c>
    </row>
    <row r="57" spans="1:6">
      <c r="B57" s="17" t="s">
        <v>140</v>
      </c>
    </row>
    <row r="58" spans="1:6">
      <c r="B58" s="17" t="s">
        <v>141</v>
      </c>
    </row>
    <row r="60" spans="1:6">
      <c r="A60" s="3" t="s">
        <v>142</v>
      </c>
    </row>
    <row r="61" spans="1:6">
      <c r="A61" s="3" t="s">
        <v>143</v>
      </c>
      <c r="D61" s="3">
        <f>341325.97/4</f>
        <v>85331.492499999993</v>
      </c>
      <c r="E61" s="3" t="s">
        <v>40</v>
      </c>
    </row>
    <row r="62" spans="1:6">
      <c r="A62" s="3" t="s">
        <v>144</v>
      </c>
    </row>
    <row r="64" spans="1:6">
      <c r="A64" s="11" t="s">
        <v>57</v>
      </c>
      <c r="B64" s="12"/>
      <c r="C64" s="11" t="s">
        <v>58</v>
      </c>
      <c r="D64" s="11"/>
    </row>
    <row r="65" spans="1:4">
      <c r="A65" s="13"/>
      <c r="B65" s="14"/>
      <c r="C65" s="13"/>
      <c r="D65" s="13"/>
    </row>
    <row r="66" spans="1:4">
      <c r="A66" s="13" t="s">
        <v>145</v>
      </c>
      <c r="B66" s="14">
        <f>D61</f>
        <v>85331.492499999993</v>
      </c>
      <c r="C66" s="13"/>
      <c r="D66" s="13"/>
    </row>
    <row r="67" spans="1:4">
      <c r="A67" s="13" t="s">
        <v>146</v>
      </c>
      <c r="B67" s="14">
        <f>C48+C49</f>
        <v>26292.157633339957</v>
      </c>
      <c r="C67" s="13"/>
      <c r="D67" s="13"/>
    </row>
    <row r="68" spans="1:4">
      <c r="A68" s="13"/>
      <c r="B68" s="14"/>
      <c r="C68" s="13"/>
      <c r="D68" s="13"/>
    </row>
    <row r="69" spans="1:4">
      <c r="A69" s="3" t="s">
        <v>60</v>
      </c>
      <c r="B69" s="6">
        <f>SUM(B66:B68)</f>
        <v>111623.65013333995</v>
      </c>
    </row>
    <row r="72" spans="1:4">
      <c r="A72" s="11" t="s">
        <v>23</v>
      </c>
      <c r="B72" s="12"/>
      <c r="C72" s="11" t="s">
        <v>24</v>
      </c>
      <c r="D72" s="11"/>
    </row>
    <row r="73" spans="1:4">
      <c r="A73" s="13"/>
      <c r="B73" s="14"/>
      <c r="C73" s="13"/>
      <c r="D73" s="13"/>
    </row>
    <row r="74" spans="1:4">
      <c r="A74" s="13" t="s">
        <v>125</v>
      </c>
      <c r="B74" s="14">
        <f>B37-D61</f>
        <v>255994.48058115813</v>
      </c>
      <c r="C74" s="13" t="s">
        <v>60</v>
      </c>
      <c r="D74" s="13">
        <f>-B69</f>
        <v>-111623.65013333995</v>
      </c>
    </row>
    <row r="75" spans="1:4">
      <c r="A75" s="13"/>
      <c r="B75" s="14"/>
      <c r="C75" s="13" t="s">
        <v>122</v>
      </c>
      <c r="D75" s="13">
        <f>E49</f>
        <v>217618.13071449805</v>
      </c>
    </row>
    <row r="76" spans="1:4">
      <c r="A76" s="13"/>
      <c r="B76" s="14"/>
      <c r="C76" s="13" t="s">
        <v>26</v>
      </c>
      <c r="D76" s="13">
        <f>SUM(D47:D49)</f>
        <v>150000</v>
      </c>
    </row>
    <row r="77" spans="1:4">
      <c r="A77" s="2" t="s">
        <v>27</v>
      </c>
      <c r="B77" s="18">
        <f>SUM(B74:B76)</f>
        <v>255994.48058115813</v>
      </c>
      <c r="C77" s="2" t="s">
        <v>27</v>
      </c>
      <c r="D77" s="2">
        <f>SUM(D74:D76)</f>
        <v>255994.4805811581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Lefrancq</dc:creator>
  <cp:keywords/>
  <dc:description/>
  <cp:lastModifiedBy>Stéphane Lefrancq</cp:lastModifiedBy>
  <cp:revision/>
  <dcterms:created xsi:type="dcterms:W3CDTF">2024-09-23T08:52:01Z</dcterms:created>
  <dcterms:modified xsi:type="dcterms:W3CDTF">2024-10-09T11:42:19Z</dcterms:modified>
  <cp:category/>
  <cp:contentStatus/>
</cp:coreProperties>
</file>