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https://d.docs.live.net/b951a7935d7767d0/2-Recherche/Livres/ComprendreEtatsFinanciers-V3/Version_MAJ/CasPratiques/"/>
    </mc:Choice>
  </mc:AlternateContent>
  <xr:revisionPtr revIDLastSave="456" documentId="8_{0A7EA0FA-4513-C746-8EC0-59044819101C}" xr6:coauthVersionLast="47" xr6:coauthVersionMax="47" xr10:uidLastSave="{54D152A8-FA37-4D6B-9BFF-3FD48EF66800}"/>
  <bookViews>
    <workbookView xWindow="19200" yWindow="500" windowWidth="19200" windowHeight="19960" firstSheet="4" activeTab="1" xr2:uid="{9AE2FD40-C56C-C348-A0EE-C7B6229034FC}"/>
  </bookViews>
  <sheets>
    <sheet name="1-Regularisation" sheetId="1" r:id="rId1"/>
    <sheet name="2-Coût Matières" sheetId="6" r:id="rId2"/>
    <sheet name="3-Amortissement" sheetId="2" r:id="rId3"/>
    <sheet name="4-Chiffre affaires" sheetId="3" r:id="rId4"/>
    <sheet name="5-Chiffre d'affaires" sheetId="4" r:id="rId5"/>
    <sheet name="6-Impôt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6" l="1"/>
  <c r="D32" i="6"/>
  <c r="D31" i="6"/>
  <c r="D29" i="6"/>
  <c r="D27" i="6"/>
  <c r="D26" i="6"/>
  <c r="B17" i="6"/>
  <c r="E16" i="6"/>
  <c r="D15" i="6"/>
  <c r="D14" i="6"/>
  <c r="E13" i="6"/>
  <c r="D12" i="6"/>
  <c r="E11" i="6"/>
  <c r="E17" i="6" s="1"/>
  <c r="D10" i="6"/>
  <c r="D9" i="6"/>
  <c r="D17" i="6" s="1"/>
  <c r="G17" i="6" s="1"/>
  <c r="D7" i="5"/>
  <c r="D2" i="5"/>
  <c r="G9" i="5" s="1"/>
  <c r="E27" i="4"/>
  <c r="D34" i="6" l="1"/>
  <c r="E26" i="6"/>
  <c r="E27" i="6"/>
  <c r="G1" i="4"/>
  <c r="C15" i="4"/>
  <c r="E20" i="4"/>
  <c r="F20" i="4" s="1"/>
  <c r="B21" i="4" s="1"/>
  <c r="C21" i="4" s="1"/>
  <c r="B10" i="4"/>
  <c r="C8" i="4" s="1"/>
  <c r="E3" i="4"/>
  <c r="E10" i="3"/>
  <c r="E4" i="3"/>
  <c r="D7" i="3" s="1"/>
  <c r="D23" i="2"/>
  <c r="D22" i="2"/>
  <c r="B26" i="2"/>
  <c r="D25" i="2"/>
  <c r="C25" i="2"/>
  <c r="E25" i="2" s="1"/>
  <c r="D24" i="2"/>
  <c r="C24" i="2"/>
  <c r="E24" i="2" s="1"/>
  <c r="C23" i="2"/>
  <c r="E23" i="2" s="1"/>
  <c r="C22" i="2"/>
  <c r="D21" i="2"/>
  <c r="C21" i="2"/>
  <c r="E21" i="2" s="1"/>
  <c r="D20" i="2"/>
  <c r="C20" i="2"/>
  <c r="C26" i="2" s="1"/>
  <c r="D14" i="2"/>
  <c r="D13" i="2"/>
  <c r="D12" i="2"/>
  <c r="D11" i="2"/>
  <c r="D10" i="2"/>
  <c r="D9" i="2"/>
  <c r="C10" i="2"/>
  <c r="E10" i="2" s="1"/>
  <c r="C11" i="2"/>
  <c r="E11" i="2" s="1"/>
  <c r="C12" i="2"/>
  <c r="E12" i="2" s="1"/>
  <c r="C13" i="2"/>
  <c r="E13" i="2" s="1"/>
  <c r="C14" i="2"/>
  <c r="E14" i="2" s="1"/>
  <c r="C9" i="2"/>
  <c r="B15" i="2"/>
  <c r="E29" i="6" l="1"/>
  <c r="F28" i="6"/>
  <c r="E9" i="2"/>
  <c r="E15" i="2" s="1"/>
  <c r="C15" i="2"/>
  <c r="C12" i="3"/>
  <c r="E8" i="3"/>
  <c r="C9" i="4"/>
  <c r="C10" i="4" s="1"/>
  <c r="E21" i="4"/>
  <c r="F21" i="4" s="1"/>
  <c r="B22" i="4" s="1"/>
  <c r="D8" i="4"/>
  <c r="E22" i="2"/>
  <c r="E20" i="2"/>
  <c r="E26" i="2" s="1"/>
  <c r="F30" i="6" l="1"/>
  <c r="E31" i="6"/>
  <c r="E32" i="6" s="1"/>
  <c r="F33" i="6" s="1"/>
  <c r="D9" i="4"/>
  <c r="D10" i="4" s="1"/>
  <c r="C22" i="4"/>
  <c r="F34" i="6" l="1"/>
  <c r="E22" i="4"/>
  <c r="F22" i="4" s="1"/>
  <c r="B23" i="4" s="1"/>
  <c r="C23" i="4" s="1"/>
  <c r="E23" i="4" s="1"/>
  <c r="F23" i="4" s="1"/>
  <c r="B24" i="4" s="1"/>
  <c r="C24" i="4" s="1"/>
  <c r="E24" i="4" s="1"/>
  <c r="F24" i="4" s="1"/>
</calcChain>
</file>

<file path=xl/sharedStrings.xml><?xml version="1.0" encoding="utf-8"?>
<sst xmlns="http://schemas.openxmlformats.org/spreadsheetml/2006/main" count="151" uniqueCount="107">
  <si>
    <t>Fourniture d'électricité</t>
  </si>
  <si>
    <t>Il faut rattacher la consommation de décembre à l'exercice N.</t>
  </si>
  <si>
    <t>Il est possible de l'estimer à la moitié de la consommation totale, le mois de décembre représentant la moitié de la période.</t>
  </si>
  <si>
    <t xml:space="preserve">Comptablement, on aurait donc </t>
  </si>
  <si>
    <t>CR</t>
  </si>
  <si>
    <t>Electricité</t>
  </si>
  <si>
    <t>Bilan</t>
  </si>
  <si>
    <t>Charges à payer</t>
  </si>
  <si>
    <t>Prestataire d'entretien</t>
  </si>
  <si>
    <t>La prestation concerne l'exercice N à hateur de ses 2/6, soit 20 000€</t>
  </si>
  <si>
    <t>Le solde concerne l'exercice suivant et ne doit donc pas figurer dans le résultat N.</t>
  </si>
  <si>
    <t>Comptablement, on aurait donc</t>
  </si>
  <si>
    <t>Charges payées d'avance</t>
  </si>
  <si>
    <t>Prestation d'entretien</t>
  </si>
  <si>
    <t>Stocks</t>
  </si>
  <si>
    <t>Pour rattacher les charges à l'exercice, il est nécessaire d'évaluer le stock subsistant à la fin de l'exercice</t>
  </si>
  <si>
    <t>et donc les matières premières consommées</t>
  </si>
  <si>
    <t>En appliquant la méthode FIFO, on obtient les résultats suivants :</t>
  </si>
  <si>
    <t>Sens</t>
  </si>
  <si>
    <t>Quantité</t>
  </si>
  <si>
    <t>Prix d'achat/tonne</t>
  </si>
  <si>
    <t>Prix achat total</t>
  </si>
  <si>
    <t>Coût d'achat des sorties</t>
  </si>
  <si>
    <t>Détail</t>
  </si>
  <si>
    <t>Stock résiduel</t>
  </si>
  <si>
    <t>Achat</t>
  </si>
  <si>
    <t>Sortie</t>
  </si>
  <si>
    <t>100 tonnes à 1 200€ et 25 tonnes à 1 160€</t>
  </si>
  <si>
    <t>55 tonnes à 1 160€ et 55 tonnes à 1 240€</t>
  </si>
  <si>
    <t>20 tonnes à 1 240€, 50 tonnes à 1 300€ et 80 tonnes à 1 210€</t>
  </si>
  <si>
    <t>Total</t>
  </si>
  <si>
    <t>La consommation de l'exercice est de 467 600€.</t>
  </si>
  <si>
    <t>La valeur du stock résiduel correspond à la valeur des 30 tonnes acquises à 1 210€/tonne, seules encore en stock, soit 36 300€.</t>
  </si>
  <si>
    <t>C'est bien égal à la différence entre le prix d'achat total et la valeur des quantités consommées.</t>
  </si>
  <si>
    <t>En appliquant la méthode du coût moyen pondéré, on obtient les résultats suivants :</t>
  </si>
  <si>
    <t>Coût moyen pondéré</t>
  </si>
  <si>
    <t>125 tonnes à 1 182,22€</t>
  </si>
  <si>
    <t>110 tonnes à 1 215,56€</t>
  </si>
  <si>
    <t>150 tonnes à 1 235,62€</t>
  </si>
  <si>
    <t>La consommation de l'exercice est de 466 831,48€.</t>
  </si>
  <si>
    <t>La valeur du stock résiduel correspond à la valeur des 30 tonnes au coût moyen pondéré de 1 235,62€, soit 37 068,52€ (sans tenir compte des arrondis)</t>
  </si>
  <si>
    <t>Au titre de l'exercice N</t>
  </si>
  <si>
    <t>Le fuselage, les ailes, l'électronique et les aménagements s'amortissent prorata temporis.</t>
  </si>
  <si>
    <t>Les moteurs et les trains d'atterrissage s'amortissent au prorata de leur utilisation</t>
  </si>
  <si>
    <t>Attention, un vol correspond à un décollage et un atterrissage, donc à deux unités d'œuvre pour les trains.</t>
  </si>
  <si>
    <t>On a donc pour N</t>
  </si>
  <si>
    <t>Composants</t>
  </si>
  <si>
    <t>Quote-part valeur totale</t>
  </si>
  <si>
    <t>Valeur</t>
  </si>
  <si>
    <t>Coefficient d'amortissement N</t>
  </si>
  <si>
    <t>Amortissement N</t>
  </si>
  <si>
    <t>Fuselage</t>
  </si>
  <si>
    <t>Ailes &amp; ailerons</t>
  </si>
  <si>
    <t>Moteurs</t>
  </si>
  <si>
    <t>Trains d'atterrisage</t>
  </si>
  <si>
    <t>Électronique embarquée</t>
  </si>
  <si>
    <t>Aménagements intérieurs</t>
  </si>
  <si>
    <t>Et pour N+1</t>
  </si>
  <si>
    <t>Les bons d'achat correspondent à un chiffre d'affaires différé réalisé au moment de la vente initiale.</t>
  </si>
  <si>
    <t>Il faut donc isoler leur montant probable dans un compte de dettes : les clients ont déjà payé un bien qui n'a pas encore été livrés</t>
  </si>
  <si>
    <t>Et qui le sera contre remise du coupon (et donc extinction de la dette).</t>
  </si>
  <si>
    <t>La valeur des coupons qui seront utilisés est de</t>
  </si>
  <si>
    <t>euros</t>
  </si>
  <si>
    <t>On doit constater</t>
  </si>
  <si>
    <t>Chiffre d'affaires</t>
  </si>
  <si>
    <t>Programme de fidélité</t>
  </si>
  <si>
    <t>Le chiffre d'affaires ayant permis la remise de ces coupons est de</t>
  </si>
  <si>
    <t>Cela amène donc à différer</t>
  </si>
  <si>
    <t>du chiffre d'affaires</t>
  </si>
  <si>
    <t>Le chiffre d'affaires sur cette opération correspond donc à 5 années de loyer soit en valeur actuelle</t>
  </si>
  <si>
    <t xml:space="preserve">Le chiffre d'affaires habituel sur le véhicule seul est de </t>
  </si>
  <si>
    <t>Le chiffre d'affaires sur la seule maintenance est de</t>
  </si>
  <si>
    <t>Il faut répartir le chiffre d'affaires entre voiture et maintenance</t>
  </si>
  <si>
    <t>Postes</t>
  </si>
  <si>
    <t>Obligation distincte</t>
  </si>
  <si>
    <t>Poids relatif</t>
  </si>
  <si>
    <t>CA réalisé</t>
  </si>
  <si>
    <t>Voiture</t>
  </si>
  <si>
    <t>Maintenance</t>
  </si>
  <si>
    <t>A la remise du véhicule, il faudra donc constater un chiffre d'affaires de 35 895,36€ dont seulement une partie sera réglée.</t>
  </si>
  <si>
    <t>Il faut déterminer la part du flux de 9 000€ qui correspond au paiement sur le véhicule.</t>
  </si>
  <si>
    <t>C'est le montant qui actualisé à 7% sur la durée de l'opération donne 35 895,36€.</t>
  </si>
  <si>
    <t>Ce montant est de</t>
  </si>
  <si>
    <t>Cela permet de construire le tableau d'amortissement de l'opération</t>
  </si>
  <si>
    <t>(NB : CRD = capital restant dû)</t>
  </si>
  <si>
    <t>Période</t>
  </si>
  <si>
    <t>CRD début</t>
  </si>
  <si>
    <t>Intérêts</t>
  </si>
  <si>
    <t>Flux</t>
  </si>
  <si>
    <t>Remboursement</t>
  </si>
  <si>
    <t>CRD fin</t>
  </si>
  <si>
    <t>Le chiffre d''affaires annuel affecté à la maintenance est donc de</t>
  </si>
  <si>
    <t>chaque année</t>
  </si>
  <si>
    <t>correspondant à la différence entre le montant du flux affecté au véhicule (8 181,82€) et le montant décaissé (9 000€).</t>
  </si>
  <si>
    <t>Ce chiffre est cohérent avec la répartition initiale du chiffre d'affaires, aboutissant à un chiffre d'affaires sur la maintenance de 3 589,54€.</t>
  </si>
  <si>
    <t>En effet, ce montant est déterminé initialement en valeur actuelle, et la valeur actuelle d'un flux de 818,18€ payé pendant 5 ans en début de période</t>
  </si>
  <si>
    <t>au taux de 7% est bien de 3 589,54€</t>
  </si>
  <si>
    <t>Le chiffre d'affaires sur le véhicule (35 895,36€) sera constaté en totalité à la remise du bien.</t>
  </si>
  <si>
    <t>Le chiffre d'affaires sur la maintenance (818,18€) sera constaté lors de la réalisation annuelle de la prestation.</t>
  </si>
  <si>
    <t>Le montant de l'impôt exigible est calculé sur la base du résultat imposable</t>
  </si>
  <si>
    <t>L'impôt exigible est donc de</t>
  </si>
  <si>
    <t>En revanche, l'entreprise bénéficiera d'une déduction fiscale de la garantie lorsqu'elle sera mise en œuvre.</t>
  </si>
  <si>
    <t>Or le coût de cette garantie est comptablement rattaché à l'exercice au cours duquel intervient la vente du bien.</t>
  </si>
  <si>
    <t>L'économie fiscale doit donc lui être également rattaché pour donner une image exacte de la perfomance.</t>
  </si>
  <si>
    <t xml:space="preserve">Cette économie d'impôt est de </t>
  </si>
  <si>
    <t>La charge fiscale apparaissant dans le compte de résultat sera donc de</t>
  </si>
  <si>
    <t>La différence correspondra à une créance fiscale de 250 000€ inscrite au bilan en impôt différé actif.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</si>
</sst>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_);[Red]\(#,##0.00\ &quot;€&quot;\)"/>
    <numFmt numFmtId="165" formatCode="_ * #,##0.00_)_ ;_ * \(#,##0.00\)_ ;_ * &quot;-&quot;??_)_ ;_ @_ 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Font="1"/>
    <xf numFmtId="0" fontId="2" fillId="0" borderId="0" xfId="0" applyFont="1"/>
    <xf numFmtId="165" fontId="2" fillId="0" borderId="0" xfId="1" applyFont="1"/>
    <xf numFmtId="165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1" applyFont="1" applyAlignment="1">
      <alignment vertical="center"/>
    </xf>
    <xf numFmtId="165" fontId="2" fillId="0" borderId="0" xfId="1" applyFont="1" applyAlignment="1">
      <alignment horizontal="center" vertical="center" wrapText="1"/>
    </xf>
    <xf numFmtId="9" fontId="0" fillId="0" borderId="0" xfId="1" applyNumberFormat="1" applyFont="1"/>
    <xf numFmtId="9" fontId="2" fillId="0" borderId="0" xfId="2" applyFont="1"/>
    <xf numFmtId="10" fontId="0" fillId="0" borderId="0" xfId="2" applyNumberFormat="1" applyFont="1"/>
    <xf numFmtId="164" fontId="0" fillId="0" borderId="0" xfId="1" applyNumberFormat="1" applyFont="1"/>
    <xf numFmtId="165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_ * #,##0.00_)_ ;_ * \(#,##0.00\)_ ;_ * &quot;-&quot;??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D74A01-52F1-4703-86F4-6A2AD9F4B50F}" name="Tableau16" displayName="Tableau16" ref="A8:G17" totalsRowShown="0" dataDxfId="46" dataCellStyle="Milliers">
  <autoFilter ref="A8:G17" xr:uid="{18C6E02D-C581-8D43-A9DA-1C7EAC62DE50}"/>
  <tableColumns count="7">
    <tableColumn id="1" xr3:uid="{3504E7D2-0D28-4497-AA5F-3C295F3942B9}" name="Sens"/>
    <tableColumn id="2" xr3:uid="{F38430B0-C2B2-4407-AF5D-4379ABAC9FB3}" name="Quantité" dataDxfId="45" dataCellStyle="Milliers"/>
    <tableColumn id="3" xr3:uid="{88F2DB73-4C3F-409F-ABD2-016C86890CBB}" name="Prix d'achat/tonne" dataDxfId="44" dataCellStyle="Milliers"/>
    <tableColumn id="4" xr3:uid="{625D72F6-2A63-4846-81F1-7D18F2409ADC}" name="Prix achat total" dataDxfId="43" dataCellStyle="Milliers"/>
    <tableColumn id="5" xr3:uid="{52864F36-AB56-4452-8AEA-30DE76E3D004}" name="Coût d'achat des sorties" dataDxfId="42" dataCellStyle="Milliers"/>
    <tableColumn id="6" xr3:uid="{D6D7F403-7BC0-4A29-8DD7-8AF2C96456C4}" name="Détail" dataDxfId="41" dataCellStyle="Milliers"/>
    <tableColumn id="7" xr3:uid="{B6B2B2FF-BA38-43B0-B82D-AC25C4DE7E39}" name="Stock résiduel" dataDxfId="40" dataCellStyle="Millier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F188CC-F21C-4061-9324-10ACAAD00392}" name="Tableau139" displayName="Tableau139" ref="A25:G34" totalsRowShown="0" dataDxfId="39" dataCellStyle="Milliers">
  <autoFilter ref="A25:G34" xr:uid="{AC057D9B-F72A-5A44-9C16-E770F1D7B76A}"/>
  <tableColumns count="7">
    <tableColumn id="1" xr3:uid="{6AF59DFD-4567-4B0D-AAE5-D812760F2BCC}" name="Sens"/>
    <tableColumn id="2" xr3:uid="{BE487C92-2425-434D-AF1E-5B52E12D0061}" name="Quantité" dataDxfId="38" dataCellStyle="Milliers"/>
    <tableColumn id="3" xr3:uid="{F655D3D7-EF39-46A5-A5DA-617C5E100239}" name="Prix d'achat/tonne" dataDxfId="37" dataCellStyle="Milliers"/>
    <tableColumn id="4" xr3:uid="{B0991BAC-9F7C-4E13-92CF-6DA6B54FABA1}" name="Prix achat total" dataDxfId="36" dataCellStyle="Milliers"/>
    <tableColumn id="8" xr3:uid="{D83F5D26-0C0A-4D93-8E69-F0BDD3137AC4}" name="Coût moyen pondéré" dataDxfId="35" dataCellStyle="Milliers">
      <calculatedColumnFormula>Tableau139[[#This Row],[Prix achat total]]/Tableau139[[#This Row],[Quantité]]</calculatedColumnFormula>
    </tableColumn>
    <tableColumn id="5" xr3:uid="{F8B11ED9-EBF5-4D99-8C64-D558838CE05F}" name="Coût d'achat des sorties" dataDxfId="34" dataCellStyle="Milliers"/>
    <tableColumn id="6" xr3:uid="{50F0CB48-2163-4F1A-8EBA-0F1CD627FB06}" name="Détail" dataDxfId="33" dataCellStyle="Milliers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FCE1A2-7144-1B4D-A9DF-EB2A890A31E0}" name="Tableau3" displayName="Tableau3" ref="A8:E15" totalsRowShown="0" headerRowDxfId="32" dataDxfId="31" headerRowCellStyle="Milliers" dataCellStyle="Milliers">
  <autoFilter ref="A8:E15" xr:uid="{78FCE1A2-7144-1B4D-A9DF-EB2A890A31E0}"/>
  <tableColumns count="5">
    <tableColumn id="1" xr3:uid="{8AB3B639-232E-8640-A8BB-A5F07DC2A0E6}" name="Composants" dataDxfId="30" dataCellStyle="Milliers"/>
    <tableColumn id="2" xr3:uid="{9AAFAE95-7C6F-2B4B-8E0E-315066F4A441}" name="Quote-part valeur totale" dataDxfId="29" dataCellStyle="Milliers"/>
    <tableColumn id="3" xr3:uid="{2E0A3F01-0254-E040-B715-BB68629B2C49}" name="Valeur" dataDxfId="28" dataCellStyle="Milliers"/>
    <tableColumn id="4" xr3:uid="{4F8C4A94-31E8-CA4D-AE6D-E0AC404AA42F}" name="Coefficient d'amortissement N" dataDxfId="27" dataCellStyle="Milliers"/>
    <tableColumn id="5" xr3:uid="{91F14420-C569-CE42-9084-B8AB5C1A9719}" name="Amortissement N" dataDxfId="26" dataCellStyle="Milliers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4AC0CF-A4F6-0449-8D3F-6511A35A6F2C}" name="Tableau35" displayName="Tableau35" ref="A19:E26" totalsRowShown="0" headerRowDxfId="25" dataDxfId="24" headerRowCellStyle="Milliers" dataCellStyle="Milliers">
  <autoFilter ref="A19:E26" xr:uid="{704AC0CF-A4F6-0449-8D3F-6511A35A6F2C}"/>
  <tableColumns count="5">
    <tableColumn id="1" xr3:uid="{D38A1BFE-999B-B440-A706-5CE1C3E347C8}" name="Composants" dataDxfId="23" dataCellStyle="Milliers"/>
    <tableColumn id="2" xr3:uid="{4860ECEC-3059-9441-AB1A-2ADD775B020F}" name="Quote-part valeur totale" dataDxfId="22" dataCellStyle="Milliers"/>
    <tableColumn id="3" xr3:uid="{90F3E85A-81A4-2647-8B4C-6F7A56D63295}" name="Valeur" dataDxfId="21" dataCellStyle="Milliers"/>
    <tableColumn id="4" xr3:uid="{500F46C3-11A8-5F41-875E-35943CE58F74}" name="Coefficient d'amortissement N" dataDxfId="20" dataCellStyle="Milliers"/>
    <tableColumn id="5" xr3:uid="{048C1DBF-A150-5A43-9B46-71D5B6BCA797}" name="Amortissement N" dataDxfId="19" dataCellStyle="Milliers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736F04-8BDB-8B44-A813-B21B730280D1}" name="Tableau6" displayName="Tableau6" ref="A7:D10" totalsRowShown="0" headerRowDxfId="18" dataDxfId="17" headerRowCellStyle="Milliers" dataCellStyle="Milliers">
  <autoFilter ref="A7:D10" xr:uid="{5D736F04-8BDB-8B44-A813-B21B730280D1}"/>
  <tableColumns count="4">
    <tableColumn id="1" xr3:uid="{578A51DB-DA0F-AF41-817D-7FDA44D2B232}" name="Postes" dataDxfId="16" dataCellStyle="Milliers"/>
    <tableColumn id="2" xr3:uid="{A4A6DAC1-46B9-CE4D-A9C6-D924E3717B4C}" name="Obligation distincte" dataDxfId="15" dataCellStyle="Milliers"/>
    <tableColumn id="3" xr3:uid="{8A62E74C-632A-3246-9BBE-C34AE51A0771}" name="Poids relatif"/>
    <tableColumn id="4" xr3:uid="{222CD3C9-A500-8842-A452-90ACD166916E}" name="CA réalisé" dataDxfId="14" dataCellStyle="Milliers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A705AE4-098C-064E-A145-EC221CD7CE7F}" name="Tableau7" displayName="Tableau7" ref="A19:F24" totalsRowShown="0" headerRowDxfId="13" dataDxfId="12" headerRowCellStyle="Milliers" dataCellStyle="Milliers">
  <autoFilter ref="A19:F24" xr:uid="{6A705AE4-098C-064E-A145-EC221CD7CE7F}"/>
  <tableColumns count="6">
    <tableColumn id="1" xr3:uid="{F4B010DA-DAA8-5C48-9366-A636593708BD}" name="Période" dataDxfId="10" totalsRowDxfId="11" dataCellStyle="Milliers"/>
    <tableColumn id="2" xr3:uid="{05983F60-85A8-1D47-B1B1-CCB87DED7C11}" name="CRD début" dataDxfId="8" totalsRowDxfId="9" dataCellStyle="Milliers">
      <calculatedColumnFormula>F19</calculatedColumnFormula>
    </tableColumn>
    <tableColumn id="3" xr3:uid="{468DAD86-C496-CD49-9323-74242274BA11}" name="Intérêts" dataDxfId="6" totalsRowDxfId="7" dataCellStyle="Milliers">
      <calculatedColumnFormula>B20*7%</calculatedColumnFormula>
    </tableColumn>
    <tableColumn id="4" xr3:uid="{0D552974-8380-3A44-A9BA-352F4110FB83}" name="Flux" dataDxfId="4" totalsRowDxfId="5" dataCellStyle="Milliers"/>
    <tableColumn id="5" xr3:uid="{44120536-A6E9-BB4A-84EF-12F2EEF9E459}" name="Remboursement" dataDxfId="2" totalsRowDxfId="3" dataCellStyle="Milliers">
      <calculatedColumnFormula>D20-C20</calculatedColumnFormula>
    </tableColumn>
    <tableColumn id="6" xr3:uid="{36141066-3DCE-4340-8DFE-950D86F9E388}" name="CRD fin" dataDxfId="0" totalsRowDxfId="1" dataCellStyle="Milliers">
      <calculatedColumnFormula>B20-E20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D367C-6C92-154C-B69E-06E00EF26F67}">
  <dimension ref="A1:G52"/>
  <sheetViews>
    <sheetView topLeftCell="A23" workbookViewId="0">
      <selection activeCell="A19" sqref="A19:XFD57"/>
    </sheetView>
  </sheetViews>
  <sheetFormatPr defaultColWidth="11" defaultRowHeight="15.95"/>
  <cols>
    <col min="2" max="2" width="21.625" bestFit="1" customWidth="1"/>
    <col min="3" max="3" width="18.875" bestFit="1" customWidth="1"/>
    <col min="4" max="4" width="16.375" style="1" customWidth="1"/>
    <col min="5" max="5" width="22.875" style="1" customWidth="1"/>
    <col min="6" max="6" width="36" bestFit="1" customWidth="1"/>
    <col min="7" max="7" width="27.875" style="1" bestFit="1" customWidth="1"/>
  </cols>
  <sheetData>
    <row r="1" spans="1:5">
      <c r="A1" s="2" t="s">
        <v>0</v>
      </c>
    </row>
    <row r="3" spans="1:5">
      <c r="A3" t="s">
        <v>1</v>
      </c>
    </row>
    <row r="4" spans="1:5">
      <c r="A4" t="s">
        <v>2</v>
      </c>
    </row>
    <row r="5" spans="1:5">
      <c r="A5" t="s">
        <v>3</v>
      </c>
    </row>
    <row r="7" spans="1:5">
      <c r="A7" t="s">
        <v>4</v>
      </c>
      <c r="B7" t="s">
        <v>5</v>
      </c>
      <c r="D7" s="1">
        <v>45000</v>
      </c>
    </row>
    <row r="8" spans="1:5">
      <c r="A8" t="s">
        <v>6</v>
      </c>
      <c r="C8" t="s">
        <v>7</v>
      </c>
      <c r="E8" s="1">
        <v>45000</v>
      </c>
    </row>
    <row r="10" spans="1:5">
      <c r="A10" s="2" t="s">
        <v>8</v>
      </c>
    </row>
    <row r="12" spans="1:5">
      <c r="A12" t="s">
        <v>9</v>
      </c>
    </row>
    <row r="13" spans="1:5">
      <c r="A13" t="s">
        <v>10</v>
      </c>
    </row>
    <row r="14" spans="1:5">
      <c r="A14" t="s">
        <v>11</v>
      </c>
    </row>
    <row r="16" spans="1:5">
      <c r="A16" t="s">
        <v>6</v>
      </c>
      <c r="B16" t="s">
        <v>12</v>
      </c>
      <c r="D16" s="1">
        <v>40000</v>
      </c>
    </row>
    <row r="17" spans="1:5">
      <c r="A17" t="s">
        <v>4</v>
      </c>
      <c r="C17" t="s">
        <v>13</v>
      </c>
      <c r="E17" s="1">
        <v>40000</v>
      </c>
    </row>
    <row r="19" spans="1:5" ht="15.75"/>
    <row r="34" ht="15.75"/>
    <row r="35" ht="15.75"/>
    <row r="52" ht="15.7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42E5-801D-4C07-8AD3-A1C660154339}">
  <dimension ref="A1:G38"/>
  <sheetViews>
    <sheetView tabSelected="1" workbookViewId="0">
      <selection activeCell="C37" sqref="C37"/>
    </sheetView>
  </sheetViews>
  <sheetFormatPr defaultColWidth="11" defaultRowHeight="15.75"/>
  <cols>
    <col min="2" max="2" width="21.625" bestFit="1" customWidth="1"/>
    <col min="3" max="3" width="18.875" bestFit="1" customWidth="1"/>
    <col min="4" max="4" width="16.375" style="1" customWidth="1"/>
    <col min="5" max="5" width="22.875" style="1" customWidth="1"/>
    <col min="6" max="6" width="36" bestFit="1" customWidth="1"/>
    <col min="7" max="7" width="27.875" style="1" bestFit="1" customWidth="1"/>
  </cols>
  <sheetData>
    <row r="1" spans="1:7" ht="15.95">
      <c r="A1" s="2" t="s">
        <v>14</v>
      </c>
    </row>
    <row r="3" spans="1:7" ht="15.95">
      <c r="A3" t="s">
        <v>15</v>
      </c>
    </row>
    <row r="4" spans="1:7" ht="15.95">
      <c r="A4" t="s">
        <v>16</v>
      </c>
    </row>
    <row r="6" spans="1:7" ht="15.95">
      <c r="A6" t="s">
        <v>17</v>
      </c>
    </row>
    <row r="8" spans="1:7" ht="15.95">
      <c r="A8" t="s">
        <v>18</v>
      </c>
      <c r="B8" t="s">
        <v>19</v>
      </c>
      <c r="C8" t="s">
        <v>20</v>
      </c>
      <c r="D8" s="1" t="s">
        <v>21</v>
      </c>
      <c r="E8" t="s">
        <v>22</v>
      </c>
      <c r="F8" t="s">
        <v>23</v>
      </c>
      <c r="G8" s="1" t="s">
        <v>24</v>
      </c>
    </row>
    <row r="9" spans="1:7" ht="15.95">
      <c r="A9" t="s">
        <v>25</v>
      </c>
      <c r="B9" s="1">
        <v>100</v>
      </c>
      <c r="C9" s="1">
        <v>1200</v>
      </c>
      <c r="D9" s="1">
        <f>B9*C9</f>
        <v>120000</v>
      </c>
      <c r="F9" s="1"/>
      <c r="G9" s="1">
        <v>0</v>
      </c>
    </row>
    <row r="10" spans="1:7" ht="15.95">
      <c r="A10" t="s">
        <v>25</v>
      </c>
      <c r="B10" s="1">
        <v>80</v>
      </c>
      <c r="C10" s="1">
        <v>1160</v>
      </c>
      <c r="D10" s="1">
        <f>B10*C10</f>
        <v>92800</v>
      </c>
      <c r="F10" s="1"/>
      <c r="G10" s="1">
        <v>0</v>
      </c>
    </row>
    <row r="11" spans="1:7" ht="15.95">
      <c r="A11" t="s">
        <v>26</v>
      </c>
      <c r="B11" s="1">
        <v>-125</v>
      </c>
      <c r="C11" s="1"/>
      <c r="E11" s="1">
        <f>1200*100+25*1160</f>
        <v>149000</v>
      </c>
      <c r="F11" s="1" t="s">
        <v>27</v>
      </c>
    </row>
    <row r="12" spans="1:7" ht="15.95">
      <c r="A12" t="s">
        <v>25</v>
      </c>
      <c r="B12" s="1">
        <v>75</v>
      </c>
      <c r="C12" s="1">
        <v>1240</v>
      </c>
      <c r="D12" s="1">
        <f>B12*C12</f>
        <v>93000</v>
      </c>
      <c r="F12" s="1"/>
      <c r="G12" s="1">
        <v>0</v>
      </c>
    </row>
    <row r="13" spans="1:7" ht="15.95">
      <c r="A13" t="s">
        <v>26</v>
      </c>
      <c r="B13" s="1">
        <v>-110</v>
      </c>
      <c r="C13" s="1"/>
      <c r="E13" s="1">
        <f>55*C10+55*C12</f>
        <v>132000</v>
      </c>
      <c r="F13" s="1" t="s">
        <v>28</v>
      </c>
    </row>
    <row r="14" spans="1:7" ht="15.95">
      <c r="A14" t="s">
        <v>25</v>
      </c>
      <c r="B14" s="1">
        <v>50</v>
      </c>
      <c r="C14" s="1">
        <v>1300</v>
      </c>
      <c r="D14" s="1">
        <f>B14*C14</f>
        <v>65000</v>
      </c>
      <c r="F14" s="1"/>
      <c r="G14" s="1">
        <v>0</v>
      </c>
    </row>
    <row r="15" spans="1:7" ht="15.95">
      <c r="A15" t="s">
        <v>25</v>
      </c>
      <c r="B15" s="1">
        <v>110</v>
      </c>
      <c r="C15" s="1">
        <v>1210</v>
      </c>
      <c r="D15" s="1">
        <f>B15*C15</f>
        <v>133100</v>
      </c>
      <c r="F15" s="1"/>
      <c r="G15" s="1">
        <v>30</v>
      </c>
    </row>
    <row r="16" spans="1:7" s="5" customFormat="1" ht="33.950000000000003">
      <c r="A16" s="5" t="s">
        <v>26</v>
      </c>
      <c r="B16" s="6">
        <v>-150</v>
      </c>
      <c r="C16" s="6"/>
      <c r="D16" s="6"/>
      <c r="E16" s="6">
        <f>20*C12+50*C14+80*C15</f>
        <v>186600</v>
      </c>
      <c r="F16" s="4" t="s">
        <v>29</v>
      </c>
      <c r="G16" s="6"/>
    </row>
    <row r="17" spans="1:7" ht="15.95">
      <c r="A17" s="2" t="s">
        <v>30</v>
      </c>
      <c r="B17" s="3">
        <f>SUM(B9:B16)</f>
        <v>30</v>
      </c>
      <c r="C17" s="3"/>
      <c r="D17" s="3">
        <f>SUM(D9:D16)</f>
        <v>503900</v>
      </c>
      <c r="E17" s="3">
        <f>SUM(E9:E16)</f>
        <v>467600</v>
      </c>
      <c r="F17" s="3"/>
      <c r="G17" s="3">
        <f>D17-E17</f>
        <v>36300</v>
      </c>
    </row>
    <row r="19" spans="1:7" ht="15.95">
      <c r="A19" t="s">
        <v>31</v>
      </c>
    </row>
    <row r="20" spans="1:7" ht="15.95">
      <c r="A20" t="s">
        <v>32</v>
      </c>
    </row>
    <row r="21" spans="1:7" ht="15.95">
      <c r="A21" t="s">
        <v>33</v>
      </c>
    </row>
    <row r="23" spans="1:7" ht="15.95">
      <c r="A23" t="s">
        <v>34</v>
      </c>
    </row>
    <row r="25" spans="1:7" ht="15.95">
      <c r="A25" t="s">
        <v>18</v>
      </c>
      <c r="B25" t="s">
        <v>19</v>
      </c>
      <c r="C25" t="s">
        <v>20</v>
      </c>
      <c r="D25" s="1" t="s">
        <v>21</v>
      </c>
      <c r="E25" s="1" t="s">
        <v>35</v>
      </c>
      <c r="F25" t="s">
        <v>22</v>
      </c>
      <c r="G25" t="s">
        <v>23</v>
      </c>
    </row>
    <row r="26" spans="1:7" ht="15.95">
      <c r="A26" t="s">
        <v>25</v>
      </c>
      <c r="B26" s="1">
        <v>100</v>
      </c>
      <c r="C26" s="1">
        <v>1200</v>
      </c>
      <c r="D26" s="1">
        <f>B26*C26</f>
        <v>120000</v>
      </c>
      <c r="E26" s="1">
        <f>D26/B26</f>
        <v>1200</v>
      </c>
      <c r="F26" s="1"/>
    </row>
    <row r="27" spans="1:7" ht="15.95">
      <c r="A27" t="s">
        <v>25</v>
      </c>
      <c r="B27" s="1">
        <v>80</v>
      </c>
      <c r="C27" s="1">
        <v>1160</v>
      </c>
      <c r="D27" s="1">
        <f>B27*C27</f>
        <v>92800</v>
      </c>
      <c r="E27" s="1">
        <f>(D27+D26)/(B27+B26)</f>
        <v>1182.2222222222222</v>
      </c>
      <c r="F27" s="1"/>
    </row>
    <row r="28" spans="1:7" ht="15.95">
      <c r="A28" t="s">
        <v>26</v>
      </c>
      <c r="B28" s="1">
        <v>-125</v>
      </c>
      <c r="C28" s="1"/>
      <c r="F28" s="1">
        <f>125*E27</f>
        <v>147777.77777777778</v>
      </c>
      <c r="G28" s="1" t="s">
        <v>36</v>
      </c>
    </row>
    <row r="29" spans="1:7" ht="15.95">
      <c r="A29" t="s">
        <v>25</v>
      </c>
      <c r="B29" s="1">
        <v>75</v>
      </c>
      <c r="C29" s="1">
        <v>1240</v>
      </c>
      <c r="D29" s="1">
        <f>B29*C29</f>
        <v>93000</v>
      </c>
      <c r="E29" s="1">
        <f>(55*E27+D29)/(55+B29)</f>
        <v>1215.5555555555554</v>
      </c>
      <c r="F29" s="1"/>
    </row>
    <row r="30" spans="1:7" ht="15.95">
      <c r="A30" t="s">
        <v>26</v>
      </c>
      <c r="B30" s="1">
        <v>-110</v>
      </c>
      <c r="C30" s="1"/>
      <c r="F30" s="1">
        <f>110*E29</f>
        <v>133711.11111111109</v>
      </c>
      <c r="G30" s="1" t="s">
        <v>37</v>
      </c>
    </row>
    <row r="31" spans="1:7" ht="15.95">
      <c r="A31" t="s">
        <v>25</v>
      </c>
      <c r="B31" s="1">
        <v>50</v>
      </c>
      <c r="C31" s="1">
        <v>1300</v>
      </c>
      <c r="D31" s="1">
        <f>B31*C31</f>
        <v>65000</v>
      </c>
      <c r="E31" s="1">
        <f>(D31+20*E29)/(20+B31)</f>
        <v>1275.8730158730159</v>
      </c>
      <c r="F31" s="1"/>
    </row>
    <row r="32" spans="1:7" ht="15.95">
      <c r="A32" t="s">
        <v>25</v>
      </c>
      <c r="B32" s="1">
        <v>110</v>
      </c>
      <c r="C32" s="1">
        <v>1210</v>
      </c>
      <c r="D32" s="1">
        <f>B32*C32</f>
        <v>133100</v>
      </c>
      <c r="E32" s="1">
        <f>(70*E31+D32)/(70+B32)</f>
        <v>1235.6172839506173</v>
      </c>
      <c r="F32" s="1"/>
    </row>
    <row r="33" spans="1:7" ht="15.95">
      <c r="A33" t="s">
        <v>26</v>
      </c>
      <c r="B33" s="1">
        <v>-150</v>
      </c>
      <c r="C33" s="1"/>
      <c r="F33" s="1">
        <f>150*E32</f>
        <v>185342.59259259258</v>
      </c>
      <c r="G33" s="1" t="s">
        <v>38</v>
      </c>
    </row>
    <row r="34" spans="1:7" ht="15.95">
      <c r="A34" s="2" t="s">
        <v>30</v>
      </c>
      <c r="B34" s="3">
        <f>SUM(B26:B33)</f>
        <v>30</v>
      </c>
      <c r="C34" s="3"/>
      <c r="D34" s="3">
        <f>SUM(D26:D33)</f>
        <v>503900</v>
      </c>
      <c r="E34" s="3"/>
      <c r="F34" s="3">
        <f>SUM(F26:F33)</f>
        <v>466831.48148148146</v>
      </c>
      <c r="G34" s="3"/>
    </row>
    <row r="36" spans="1:7" ht="15.95">
      <c r="A36" t="s">
        <v>39</v>
      </c>
    </row>
    <row r="37" spans="1:7" ht="15.95">
      <c r="A37" t="s">
        <v>40</v>
      </c>
    </row>
    <row r="38" spans="1:7" ht="15.95">
      <c r="A38" t="s">
        <v>33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0B06-FCD3-B340-BF81-2DB0B4F9E8E1}">
  <dimension ref="A1:E26"/>
  <sheetViews>
    <sheetView workbookViewId="0">
      <selection activeCell="D31" sqref="D31"/>
    </sheetView>
  </sheetViews>
  <sheetFormatPr defaultColWidth="10.875" defaultRowHeight="15.95"/>
  <cols>
    <col min="1" max="2" width="23.625" style="1" customWidth="1"/>
    <col min="3" max="3" width="17.875" style="1" customWidth="1"/>
    <col min="4" max="4" width="29.625" style="1" customWidth="1"/>
    <col min="5" max="5" width="18.875" style="1" customWidth="1"/>
    <col min="6" max="16384" width="10.875" style="1"/>
  </cols>
  <sheetData>
    <row r="1" spans="1:5">
      <c r="A1" s="3" t="s">
        <v>41</v>
      </c>
    </row>
    <row r="3" spans="1:5">
      <c r="A3" s="1" t="s">
        <v>42</v>
      </c>
    </row>
    <row r="4" spans="1:5">
      <c r="A4" s="1" t="s">
        <v>43</v>
      </c>
    </row>
    <row r="5" spans="1:5">
      <c r="A5" s="1" t="s">
        <v>44</v>
      </c>
    </row>
    <row r="6" spans="1:5">
      <c r="A6" s="1" t="s">
        <v>45</v>
      </c>
    </row>
    <row r="8" spans="1:5" s="4" customFormat="1" ht="33.950000000000003">
      <c r="A8" s="7" t="s">
        <v>46</v>
      </c>
      <c r="B8" s="7" t="s">
        <v>47</v>
      </c>
      <c r="C8" s="7" t="s">
        <v>48</v>
      </c>
      <c r="D8" s="7" t="s">
        <v>49</v>
      </c>
      <c r="E8" s="7" t="s">
        <v>50</v>
      </c>
    </row>
    <row r="9" spans="1:5">
      <c r="A9" s="1" t="s">
        <v>51</v>
      </c>
      <c r="B9" s="8">
        <v>0.15</v>
      </c>
      <c r="C9" s="1">
        <f>40000000*B9</f>
        <v>6000000</v>
      </c>
      <c r="D9" s="10">
        <f>1/20</f>
        <v>0.05</v>
      </c>
      <c r="E9" s="1">
        <f>C9*D9</f>
        <v>300000</v>
      </c>
    </row>
    <row r="10" spans="1:5">
      <c r="A10" s="1" t="s">
        <v>52</v>
      </c>
      <c r="B10" s="8">
        <v>0.23</v>
      </c>
      <c r="C10" s="1">
        <f t="shared" ref="C10:C14" si="0">40000000*B10</f>
        <v>9200000</v>
      </c>
      <c r="D10" s="10">
        <f>1/12</f>
        <v>8.3333333333333329E-2</v>
      </c>
      <c r="E10" s="1">
        <f t="shared" ref="E10:E14" si="1">C10*D10</f>
        <v>766666.66666666663</v>
      </c>
    </row>
    <row r="11" spans="1:5">
      <c r="A11" s="1" t="s">
        <v>53</v>
      </c>
      <c r="B11" s="8">
        <v>0.31</v>
      </c>
      <c r="C11" s="1">
        <f t="shared" si="0"/>
        <v>12400000</v>
      </c>
      <c r="D11" s="10">
        <f>90/500</f>
        <v>0.18</v>
      </c>
      <c r="E11" s="1">
        <f t="shared" si="1"/>
        <v>2232000</v>
      </c>
    </row>
    <row r="12" spans="1:5">
      <c r="A12" s="1" t="s">
        <v>54</v>
      </c>
      <c r="B12" s="8">
        <v>0.12</v>
      </c>
      <c r="C12" s="1">
        <f t="shared" si="0"/>
        <v>4800000</v>
      </c>
      <c r="D12" s="10">
        <f>80*2/1650</f>
        <v>9.696969696969697E-2</v>
      </c>
      <c r="E12" s="1">
        <f t="shared" si="1"/>
        <v>465454.54545454547</v>
      </c>
    </row>
    <row r="13" spans="1:5">
      <c r="A13" s="1" t="s">
        <v>55</v>
      </c>
      <c r="B13" s="8">
        <v>0.14000000000000001</v>
      </c>
      <c r="C13" s="1">
        <f t="shared" si="0"/>
        <v>5600000.0000000009</v>
      </c>
      <c r="D13" s="10">
        <f>1/5</f>
        <v>0.2</v>
      </c>
      <c r="E13" s="1">
        <f t="shared" si="1"/>
        <v>1120000.0000000002</v>
      </c>
    </row>
    <row r="14" spans="1:5">
      <c r="A14" s="1" t="s">
        <v>56</v>
      </c>
      <c r="B14" s="8">
        <v>0.05</v>
      </c>
      <c r="C14" s="1">
        <f t="shared" si="0"/>
        <v>2000000</v>
      </c>
      <c r="D14" s="10">
        <f>1/4</f>
        <v>0.25</v>
      </c>
      <c r="E14" s="1">
        <f t="shared" si="1"/>
        <v>500000</v>
      </c>
    </row>
    <row r="15" spans="1:5">
      <c r="A15" s="3" t="s">
        <v>30</v>
      </c>
      <c r="B15" s="9">
        <f>SUM(B9:B14)</f>
        <v>1</v>
      </c>
      <c r="C15" s="3">
        <f>SUM(C9:C14)</f>
        <v>40000000</v>
      </c>
      <c r="D15" s="3"/>
      <c r="E15" s="3">
        <f>SUM(E9:E14)</f>
        <v>5384121.2121212119</v>
      </c>
    </row>
    <row r="17" spans="1:5">
      <c r="A17" s="1" t="s">
        <v>57</v>
      </c>
    </row>
    <row r="19" spans="1:5" ht="17.100000000000001">
      <c r="A19" s="7" t="s">
        <v>46</v>
      </c>
      <c r="B19" s="7" t="s">
        <v>47</v>
      </c>
      <c r="C19" s="7" t="s">
        <v>48</v>
      </c>
      <c r="D19" s="7" t="s">
        <v>49</v>
      </c>
      <c r="E19" s="7" t="s">
        <v>50</v>
      </c>
    </row>
    <row r="20" spans="1:5">
      <c r="A20" s="1" t="s">
        <v>51</v>
      </c>
      <c r="B20" s="8">
        <v>0.15</v>
      </c>
      <c r="C20" s="1">
        <f>40000000*B20</f>
        <v>6000000</v>
      </c>
      <c r="D20" s="10">
        <f>1/20</f>
        <v>0.05</v>
      </c>
      <c r="E20" s="1">
        <f>C20*D20</f>
        <v>300000</v>
      </c>
    </row>
    <row r="21" spans="1:5">
      <c r="A21" s="1" t="s">
        <v>52</v>
      </c>
      <c r="B21" s="8">
        <v>0.23</v>
      </c>
      <c r="C21" s="1">
        <f t="shared" ref="C21:C25" si="2">40000000*B21</f>
        <v>9200000</v>
      </c>
      <c r="D21" s="10">
        <f>1/12</f>
        <v>8.3333333333333329E-2</v>
      </c>
      <c r="E21" s="1">
        <f t="shared" ref="E21:E25" si="3">C21*D21</f>
        <v>766666.66666666663</v>
      </c>
    </row>
    <row r="22" spans="1:5">
      <c r="A22" s="1" t="s">
        <v>53</v>
      </c>
      <c r="B22" s="8">
        <v>0.31</v>
      </c>
      <c r="C22" s="1">
        <f t="shared" si="2"/>
        <v>12400000</v>
      </c>
      <c r="D22" s="10">
        <f>130/500</f>
        <v>0.26</v>
      </c>
      <c r="E22" s="1">
        <f t="shared" si="3"/>
        <v>3224000</v>
      </c>
    </row>
    <row r="23" spans="1:5">
      <c r="A23" s="1" t="s">
        <v>54</v>
      </c>
      <c r="B23" s="8">
        <v>0.12</v>
      </c>
      <c r="C23" s="1">
        <f t="shared" si="2"/>
        <v>4800000</v>
      </c>
      <c r="D23" s="10">
        <f>120*2/1650</f>
        <v>0.14545454545454545</v>
      </c>
      <c r="E23" s="1">
        <f t="shared" si="3"/>
        <v>698181.81818181812</v>
      </c>
    </row>
    <row r="24" spans="1:5">
      <c r="A24" s="1" t="s">
        <v>55</v>
      </c>
      <c r="B24" s="8">
        <v>0.14000000000000001</v>
      </c>
      <c r="C24" s="1">
        <f t="shared" si="2"/>
        <v>5600000.0000000009</v>
      </c>
      <c r="D24" s="10">
        <f>1/5</f>
        <v>0.2</v>
      </c>
      <c r="E24" s="1">
        <f t="shared" si="3"/>
        <v>1120000.0000000002</v>
      </c>
    </row>
    <row r="25" spans="1:5">
      <c r="A25" s="1" t="s">
        <v>56</v>
      </c>
      <c r="B25" s="8">
        <v>0.05</v>
      </c>
      <c r="C25" s="1">
        <f t="shared" si="2"/>
        <v>2000000</v>
      </c>
      <c r="D25" s="10">
        <f>1/4</f>
        <v>0.25</v>
      </c>
      <c r="E25" s="1">
        <f t="shared" si="3"/>
        <v>500000</v>
      </c>
    </row>
    <row r="26" spans="1:5">
      <c r="A26" s="3" t="s">
        <v>30</v>
      </c>
      <c r="B26" s="9">
        <f>SUM(B20:B25)</f>
        <v>1</v>
      </c>
      <c r="C26" s="3">
        <f>SUM(C20:C25)</f>
        <v>40000000</v>
      </c>
      <c r="D26" s="3"/>
      <c r="E26" s="3">
        <f>SUM(E20:E25)</f>
        <v>6608848.4848484844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39EA-EA61-1742-81BC-FD849F40C458}">
  <dimension ref="A1:F12"/>
  <sheetViews>
    <sheetView workbookViewId="0">
      <selection activeCell="D12" sqref="D12"/>
    </sheetView>
  </sheetViews>
  <sheetFormatPr defaultColWidth="10.875" defaultRowHeight="15.95"/>
  <cols>
    <col min="1" max="1" width="14.625" style="1" bestFit="1" customWidth="1"/>
    <col min="2" max="2" width="15" style="1" bestFit="1" customWidth="1"/>
    <col min="3" max="3" width="19" style="1" bestFit="1" customWidth="1"/>
    <col min="4" max="4" width="12.625" style="1" bestFit="1" customWidth="1"/>
    <col min="5" max="5" width="14.625" style="1" bestFit="1" customWidth="1"/>
    <col min="6" max="16384" width="10.875" style="1"/>
  </cols>
  <sheetData>
    <row r="1" spans="1:6">
      <c r="A1" s="1" t="s">
        <v>58</v>
      </c>
    </row>
    <row r="2" spans="1:6">
      <c r="A2" s="1" t="s">
        <v>59</v>
      </c>
    </row>
    <row r="3" spans="1:6">
      <c r="A3" s="1" t="s">
        <v>60</v>
      </c>
    </row>
    <row r="4" spans="1:6">
      <c r="A4" s="1" t="s">
        <v>61</v>
      </c>
      <c r="E4" s="1">
        <f>47%*123500*17+36%*123500*9</f>
        <v>1386905</v>
      </c>
      <c r="F4" s="1" t="s">
        <v>62</v>
      </c>
    </row>
    <row r="5" spans="1:6">
      <c r="A5" s="1" t="s">
        <v>63</v>
      </c>
    </row>
    <row r="7" spans="1:6">
      <c r="A7" s="1" t="s">
        <v>4</v>
      </c>
      <c r="B7" s="1" t="s">
        <v>64</v>
      </c>
      <c r="D7" s="1">
        <f>E4</f>
        <v>1386905</v>
      </c>
    </row>
    <row r="8" spans="1:6">
      <c r="A8" s="1" t="s">
        <v>6</v>
      </c>
      <c r="C8" s="1" t="s">
        <v>65</v>
      </c>
      <c r="E8" s="1">
        <f>D7</f>
        <v>1386905</v>
      </c>
    </row>
    <row r="10" spans="1:6">
      <c r="A10" s="1" t="s">
        <v>66</v>
      </c>
      <c r="E10" s="1">
        <f>123500*1700</f>
        <v>209950000</v>
      </c>
      <c r="F10" s="1" t="s">
        <v>62</v>
      </c>
    </row>
    <row r="12" spans="1:6">
      <c r="A12" s="1" t="s">
        <v>67</v>
      </c>
      <c r="C12" s="10">
        <f>D7/E10</f>
        <v>6.6058823529411767E-3</v>
      </c>
      <c r="D12" s="1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EF96-465D-B24E-8E1A-009BB3B45617}">
  <dimension ref="A1:H34"/>
  <sheetViews>
    <sheetView workbookViewId="0">
      <selection activeCell="A35" sqref="A35"/>
    </sheetView>
  </sheetViews>
  <sheetFormatPr defaultColWidth="10.875" defaultRowHeight="15.95"/>
  <cols>
    <col min="1" max="1" width="13.125" style="1" customWidth="1"/>
    <col min="2" max="2" width="20" style="1" customWidth="1"/>
    <col min="3" max="3" width="13.625" style="1" customWidth="1"/>
    <col min="4" max="4" width="12.375" style="1" customWidth="1"/>
    <col min="5" max="5" width="17.5" style="1" customWidth="1"/>
    <col min="6" max="6" width="15.625" style="1" customWidth="1"/>
    <col min="7" max="7" width="11.875" style="1" bestFit="1" customWidth="1"/>
    <col min="8" max="16384" width="10.875" style="1"/>
  </cols>
  <sheetData>
    <row r="1" spans="1:8">
      <c r="A1" s="1" t="s">
        <v>69</v>
      </c>
      <c r="G1" s="11">
        <f>PV(7%,5,9000,0,1)</f>
        <v>-39484.901308175344</v>
      </c>
      <c r="H1" s="1" t="s">
        <v>62</v>
      </c>
    </row>
    <row r="2" spans="1:8">
      <c r="A2" s="1" t="s">
        <v>70</v>
      </c>
      <c r="E2" s="1">
        <v>40000</v>
      </c>
      <c r="F2" s="1" t="s">
        <v>62</v>
      </c>
    </row>
    <row r="3" spans="1:8">
      <c r="A3" s="1" t="s">
        <v>71</v>
      </c>
      <c r="E3" s="1">
        <f>5*800</f>
        <v>4000</v>
      </c>
    </row>
    <row r="5" spans="1:8">
      <c r="A5" s="1" t="s">
        <v>72</v>
      </c>
    </row>
    <row r="7" spans="1:8">
      <c r="A7" s="1" t="s">
        <v>73</v>
      </c>
      <c r="B7" s="1" t="s">
        <v>74</v>
      </c>
      <c r="C7" s="1" t="s">
        <v>75</v>
      </c>
      <c r="D7" s="1" t="s">
        <v>76</v>
      </c>
    </row>
    <row r="8" spans="1:8">
      <c r="A8" s="1" t="s">
        <v>77</v>
      </c>
      <c r="B8" s="1">
        <v>40000</v>
      </c>
      <c r="C8" s="10">
        <f>B8/B10</f>
        <v>0.90909090909090906</v>
      </c>
      <c r="D8" s="1">
        <f>C8*$G$1</f>
        <v>-35895.36482561395</v>
      </c>
    </row>
    <row r="9" spans="1:8">
      <c r="A9" s="1" t="s">
        <v>78</v>
      </c>
      <c r="B9" s="1">
        <v>4000</v>
      </c>
      <c r="C9" s="10">
        <f>B9/B10</f>
        <v>9.0909090909090912E-2</v>
      </c>
      <c r="D9" s="1">
        <f>C9*$G$1</f>
        <v>-3589.5364825613951</v>
      </c>
    </row>
    <row r="10" spans="1:8">
      <c r="A10" s="3" t="s">
        <v>30</v>
      </c>
      <c r="B10" s="3">
        <f>SUM(B8:B9)</f>
        <v>44000</v>
      </c>
      <c r="C10" s="9">
        <f t="shared" ref="C10:D10" si="0">SUM(C8:C9)</f>
        <v>1</v>
      </c>
      <c r="D10" s="3">
        <f t="shared" si="0"/>
        <v>-39484.901308175344</v>
      </c>
    </row>
    <row r="12" spans="1:8">
      <c r="A12" s="1" t="s">
        <v>79</v>
      </c>
    </row>
    <row r="13" spans="1:8">
      <c r="A13" s="1" t="s">
        <v>80</v>
      </c>
    </row>
    <row r="14" spans="1:8">
      <c r="A14" s="1" t="s">
        <v>81</v>
      </c>
    </row>
    <row r="15" spans="1:8" s="12" customFormat="1">
      <c r="A15" s="12" t="s">
        <v>82</v>
      </c>
      <c r="C15" s="13">
        <f>PMT(7%,5,35895.36,0,1)</f>
        <v>-8181.8170818907683</v>
      </c>
    </row>
    <row r="16" spans="1:8">
      <c r="A16" s="1" t="s">
        <v>83</v>
      </c>
    </row>
    <row r="17" spans="1:7">
      <c r="A17" s="1" t="s">
        <v>84</v>
      </c>
    </row>
    <row r="19" spans="1:7">
      <c r="A19" s="1" t="s">
        <v>85</v>
      </c>
      <c r="B19" s="1" t="s">
        <v>86</v>
      </c>
      <c r="C19" s="1" t="s">
        <v>87</v>
      </c>
      <c r="D19" s="1" t="s">
        <v>88</v>
      </c>
      <c r="E19" s="1" t="s">
        <v>89</v>
      </c>
      <c r="F19" s="1" t="s">
        <v>90</v>
      </c>
    </row>
    <row r="20" spans="1:7">
      <c r="A20" s="1">
        <v>0</v>
      </c>
      <c r="B20" s="1">
        <v>35895.360000000001</v>
      </c>
      <c r="C20" s="1">
        <v>0</v>
      </c>
      <c r="D20" s="1">
        <v>8181.82</v>
      </c>
      <c r="E20" s="1">
        <f>D20-C20</f>
        <v>8181.82</v>
      </c>
      <c r="F20" s="1">
        <f>B20-E20</f>
        <v>27713.54</v>
      </c>
    </row>
    <row r="21" spans="1:7">
      <c r="A21" s="1">
        <v>1</v>
      </c>
      <c r="B21" s="1">
        <f>F20</f>
        <v>27713.54</v>
      </c>
      <c r="C21" s="1">
        <f>B21*7%</f>
        <v>1939.9478000000001</v>
      </c>
      <c r="D21" s="1">
        <v>8181.82</v>
      </c>
      <c r="E21" s="1">
        <f t="shared" ref="E21:E24" si="1">D21-C21</f>
        <v>6241.8721999999998</v>
      </c>
      <c r="F21" s="1">
        <f t="shared" ref="F21:F24" si="2">B21-E21</f>
        <v>21471.667800000003</v>
      </c>
    </row>
    <row r="22" spans="1:7">
      <c r="A22" s="1">
        <v>2</v>
      </c>
      <c r="B22" s="1">
        <f t="shared" ref="B22:B24" si="3">F21</f>
        <v>21471.667800000003</v>
      </c>
      <c r="C22" s="1">
        <f t="shared" ref="C22:C24" si="4">B22*7%</f>
        <v>1503.0167460000002</v>
      </c>
      <c r="D22" s="1">
        <v>8181.82</v>
      </c>
      <c r="E22" s="1">
        <f t="shared" si="1"/>
        <v>6678.8032539999995</v>
      </c>
      <c r="F22" s="1">
        <f t="shared" si="2"/>
        <v>14792.864546000004</v>
      </c>
    </row>
    <row r="23" spans="1:7">
      <c r="A23" s="1">
        <v>3</v>
      </c>
      <c r="B23" s="1">
        <f t="shared" si="3"/>
        <v>14792.864546000004</v>
      </c>
      <c r="C23" s="1">
        <f t="shared" si="4"/>
        <v>1035.5005182200005</v>
      </c>
      <c r="D23" s="1">
        <v>8181.82</v>
      </c>
      <c r="E23" s="1">
        <f t="shared" si="1"/>
        <v>7146.3194817799995</v>
      </c>
      <c r="F23" s="1">
        <f t="shared" si="2"/>
        <v>7646.5450642200049</v>
      </c>
    </row>
    <row r="24" spans="1:7">
      <c r="A24" s="1">
        <v>4</v>
      </c>
      <c r="B24" s="1">
        <f t="shared" si="3"/>
        <v>7646.5450642200049</v>
      </c>
      <c r="C24" s="1">
        <f t="shared" si="4"/>
        <v>535.25815449540039</v>
      </c>
      <c r="D24" s="1">
        <v>8181.82</v>
      </c>
      <c r="E24" s="1">
        <f t="shared" si="1"/>
        <v>7646.5618455045997</v>
      </c>
      <c r="F24" s="1">
        <f t="shared" si="2"/>
        <v>-1.6781284594799217E-2</v>
      </c>
    </row>
    <row r="27" spans="1:7">
      <c r="A27" s="1" t="s">
        <v>91</v>
      </c>
      <c r="E27" s="1">
        <f>9000-8181.82</f>
        <v>818.18000000000029</v>
      </c>
      <c r="F27" s="1" t="s">
        <v>62</v>
      </c>
      <c r="G27" s="1" t="s">
        <v>92</v>
      </c>
    </row>
    <row r="28" spans="1:7">
      <c r="A28" s="1" t="s">
        <v>93</v>
      </c>
    </row>
    <row r="29" spans="1:7">
      <c r="A29" s="1" t="s">
        <v>94</v>
      </c>
    </row>
    <row r="30" spans="1:7">
      <c r="A30" s="1" t="s">
        <v>95</v>
      </c>
    </row>
    <row r="31" spans="1:7">
      <c r="A31" s="1" t="s">
        <v>96</v>
      </c>
    </row>
    <row r="33" spans="1:1">
      <c r="A33" s="1" t="s">
        <v>97</v>
      </c>
    </row>
    <row r="34" spans="1:1">
      <c r="A34" s="1" t="s">
        <v>98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BD70-6CD5-5A4E-B398-0B5BC9290D37}">
  <dimension ref="A1:G11"/>
  <sheetViews>
    <sheetView workbookViewId="0">
      <selection activeCell="A12" sqref="A12"/>
    </sheetView>
  </sheetViews>
  <sheetFormatPr defaultColWidth="10.875" defaultRowHeight="15.95"/>
  <cols>
    <col min="1" max="3" width="10.875" style="1"/>
    <col min="4" max="4" width="12.625" style="1" bestFit="1" customWidth="1"/>
    <col min="5" max="6" width="10.875" style="1"/>
    <col min="7" max="7" width="12.625" style="1" bestFit="1" customWidth="1"/>
    <col min="8" max="16384" width="10.875" style="1"/>
  </cols>
  <sheetData>
    <row r="1" spans="1:7">
      <c r="A1" s="1" t="s">
        <v>99</v>
      </c>
    </row>
    <row r="2" spans="1:7">
      <c r="A2" s="1" t="s">
        <v>100</v>
      </c>
      <c r="D2" s="1">
        <f>25%*10000000</f>
        <v>2500000</v>
      </c>
    </row>
    <row r="4" spans="1:7">
      <c r="A4" s="1" t="s">
        <v>101</v>
      </c>
    </row>
    <row r="5" spans="1:7">
      <c r="A5" s="1" t="s">
        <v>102</v>
      </c>
    </row>
    <row r="6" spans="1:7">
      <c r="A6" s="1" t="s">
        <v>103</v>
      </c>
    </row>
    <row r="7" spans="1:7">
      <c r="A7" s="1" t="s">
        <v>104</v>
      </c>
      <c r="D7" s="1">
        <f>25%*1000000</f>
        <v>250000</v>
      </c>
    </row>
    <row r="9" spans="1:7">
      <c r="A9" s="1" t="s">
        <v>105</v>
      </c>
      <c r="G9" s="1">
        <f>D2-D7</f>
        <v>2250000</v>
      </c>
    </row>
    <row r="11" spans="1:7">
      <c r="A11" s="1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Lefrancq</dc:creator>
  <cp:keywords/>
  <dc:description/>
  <cp:lastModifiedBy>Stéphane Lefrancq</cp:lastModifiedBy>
  <cp:revision/>
  <dcterms:created xsi:type="dcterms:W3CDTF">2024-10-11T13:00:47Z</dcterms:created>
  <dcterms:modified xsi:type="dcterms:W3CDTF">2024-10-23T09:18:25Z</dcterms:modified>
  <cp:category/>
  <cp:contentStatus/>
</cp:coreProperties>
</file>