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951a7935d7767d0/2-Recherche/Livres/ComprendreEtatsFinanciers-V3/Version_MAJ/CasPratiques/"/>
    </mc:Choice>
  </mc:AlternateContent>
  <xr:revisionPtr revIDLastSave="236" documentId="8_{A0D0B68D-36E0-9341-A45B-6F6C74741BEA}" xr6:coauthVersionLast="47" xr6:coauthVersionMax="47" xr10:uidLastSave="{4552F5EA-C0A0-8842-B784-C3C8866AF346}"/>
  <bookViews>
    <workbookView xWindow="19200" yWindow="500" windowWidth="19200" windowHeight="19960" activeTab="3" xr2:uid="{2E15378B-DE36-4240-B1D4-42C719F9E983}"/>
  </bookViews>
  <sheets>
    <sheet name="1-Dépréciation" sheetId="2" r:id="rId1"/>
    <sheet name="2-Dépréciation" sheetId="3" r:id="rId2"/>
    <sheet name="3-Démantèlement" sheetId="4" r:id="rId3"/>
    <sheet name="4-Dépréciation UGT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5" l="1"/>
  <c r="K32" i="5"/>
  <c r="K33" i="5"/>
  <c r="K34" i="5"/>
  <c r="K35" i="5"/>
  <c r="J33" i="5"/>
  <c r="I31" i="5"/>
  <c r="I32" i="5"/>
  <c r="I33" i="5"/>
  <c r="I34" i="5"/>
  <c r="I35" i="5"/>
  <c r="G31" i="5"/>
  <c r="G32" i="5"/>
  <c r="G33" i="5"/>
  <c r="G34" i="5"/>
  <c r="G35" i="5"/>
  <c r="D34" i="5"/>
  <c r="E34" i="5" s="1"/>
  <c r="F34" i="5" s="1"/>
  <c r="H34" i="5" s="1"/>
  <c r="J34" i="5" s="1"/>
  <c r="D33" i="5"/>
  <c r="E33" i="5" s="1"/>
  <c r="F33" i="5" s="1"/>
  <c r="H33" i="5" s="1"/>
  <c r="D32" i="5"/>
  <c r="E32" i="5" s="1"/>
  <c r="F32" i="5" s="1"/>
  <c r="H32" i="5" s="1"/>
  <c r="J32" i="5" s="1"/>
  <c r="D25" i="5"/>
  <c r="E25" i="5" s="1"/>
  <c r="F25" i="5" s="1"/>
  <c r="D24" i="5"/>
  <c r="E24" i="5" s="1"/>
  <c r="F24" i="5" s="1"/>
  <c r="D23" i="5"/>
  <c r="B33" i="5"/>
  <c r="B34" i="5"/>
  <c r="B32" i="5"/>
  <c r="B31" i="5"/>
  <c r="D31" i="5"/>
  <c r="E31" i="5" s="1"/>
  <c r="F31" i="5" s="1"/>
  <c r="H31" i="5" s="1"/>
  <c r="J31" i="5" s="1"/>
  <c r="F22" i="5"/>
  <c r="E22" i="5"/>
  <c r="E23" i="5"/>
  <c r="F23" i="5" s="1"/>
  <c r="D22" i="5"/>
  <c r="B26" i="5"/>
  <c r="D7" i="5"/>
  <c r="B12" i="5"/>
  <c r="E1" i="5"/>
  <c r="E37" i="4"/>
  <c r="D36" i="4"/>
  <c r="E34" i="4"/>
  <c r="D33" i="4"/>
  <c r="D31" i="4"/>
  <c r="B29" i="4"/>
  <c r="C28" i="4"/>
  <c r="C27" i="4"/>
  <c r="C26" i="4"/>
  <c r="C25" i="4"/>
  <c r="C24" i="4"/>
  <c r="D19" i="4"/>
  <c r="D15" i="4"/>
  <c r="C10" i="4"/>
  <c r="B10" i="4"/>
  <c r="C6" i="4"/>
  <c r="C7" i="4"/>
  <c r="C8" i="4"/>
  <c r="C9" i="4"/>
  <c r="C5" i="4"/>
  <c r="E10" i="3"/>
  <c r="C10" i="3"/>
  <c r="E9" i="3"/>
  <c r="E8" i="3"/>
  <c r="E7" i="3"/>
  <c r="E6" i="3"/>
  <c r="E5" i="3"/>
  <c r="F33" i="2"/>
  <c r="E30" i="2"/>
  <c r="B3" i="2"/>
  <c r="B35" i="5" l="1"/>
  <c r="D35" i="5"/>
  <c r="E35" i="5" s="1"/>
  <c r="F35" i="5" s="1"/>
  <c r="H35" i="5" s="1"/>
  <c r="J35" i="5" s="1"/>
  <c r="C8" i="5"/>
  <c r="C9" i="5"/>
  <c r="D9" i="5" s="1"/>
  <c r="C10" i="5"/>
  <c r="D10" i="5" s="1"/>
  <c r="C11" i="5"/>
  <c r="D11" i="5" s="1"/>
  <c r="D26" i="5"/>
  <c r="E26" i="5" s="1"/>
  <c r="F26" i="5" s="1"/>
  <c r="C29" i="4"/>
  <c r="B27" i="2"/>
  <c r="C27" i="2" s="1"/>
  <c r="D27" i="2" s="1"/>
  <c r="E27" i="2" s="1"/>
  <c r="F27" i="2" s="1"/>
  <c r="G27" i="2" s="1"/>
  <c r="G28" i="2" s="1"/>
  <c r="C25" i="2"/>
  <c r="D25" i="2" s="1"/>
  <c r="E25" i="2" s="1"/>
  <c r="F25" i="2" s="1"/>
  <c r="G25" i="2" s="1"/>
  <c r="C26" i="2"/>
  <c r="D26" i="2" s="1"/>
  <c r="E26" i="2" s="1"/>
  <c r="F26" i="2" s="1"/>
  <c r="G26" i="2" s="1"/>
  <c r="C24" i="2"/>
  <c r="D24" i="2" s="1"/>
  <c r="E24" i="2" s="1"/>
  <c r="F24" i="2" s="1"/>
  <c r="G24" i="2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C12" i="5" l="1"/>
  <c r="D8" i="5"/>
  <c r="D12" i="5" s="1"/>
  <c r="F28" i="2"/>
  <c r="B28" i="2"/>
  <c r="C28" i="2"/>
  <c r="D28" i="2"/>
  <c r="E28" i="2"/>
</calcChain>
</file>

<file path=xl/sharedStrings.xml><?xml version="1.0" encoding="utf-8"?>
<sst xmlns="http://schemas.openxmlformats.org/spreadsheetml/2006/main" count="129" uniqueCount="87">
  <si>
    <t>Flux</t>
  </si>
  <si>
    <t>N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</si>
  <si>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</si>
  <si>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</si>
  <si>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</si>
  <si>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</si>
  <si>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</si>
  <si>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</si>
  <si>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</si>
  <si>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</si>
  <si>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</si>
  <si>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CA</t>
  </si>
  <si>
    <t>MCV</t>
  </si>
  <si>
    <t>CF</t>
  </si>
  <si>
    <t>Valeur d'achat</t>
  </si>
  <si>
    <t>Valeur résiduelle</t>
  </si>
  <si>
    <t>Amortissement</t>
  </si>
  <si>
    <t>Le plan d'amortissement originel est donc de :</t>
  </si>
  <si>
    <t>Période</t>
  </si>
  <si>
    <t>Valeur nette</t>
  </si>
  <si>
    <t>La valeur vénale est inférieure à la valeur nette, il faut donc calculer la valeur d'usage.</t>
  </si>
  <si>
    <t>Fin N+3, un indice de dépréciation apparaît et il faut donc réaliser un test de dépréciation.</t>
  </si>
  <si>
    <t>Année</t>
  </si>
  <si>
    <t>Valeur actuelle</t>
  </si>
  <si>
    <t>1</t>
  </si>
  <si>
    <t>2</t>
  </si>
  <si>
    <t>3</t>
  </si>
  <si>
    <t>4</t>
  </si>
  <si>
    <t>5</t>
  </si>
  <si>
    <t>6</t>
  </si>
  <si>
    <t>La valeur d'usage est donc la somme des valeurs actuelles</t>
  </si>
  <si>
    <t>La valeur d'utilité est donc de 2 787 711€, la plus élevée de la valeur vénale et de la valeur d'usage</t>
  </si>
  <si>
    <t>Il faut donc constater une dépréciation pour la différence entre les deux, soit</t>
  </si>
  <si>
    <t>euros</t>
  </si>
  <si>
    <t>Il faut estimer la part recouvrable de la créance.</t>
  </si>
  <si>
    <t>C'est la somme des encours sous-déduction des montants dont il est probable qu'ils seront en défaut.</t>
  </si>
  <si>
    <t>Catégorie</t>
  </si>
  <si>
    <t>Encours</t>
  </si>
  <si>
    <t>Taux de défaut</t>
  </si>
  <si>
    <t>Défaut</t>
  </si>
  <si>
    <t>Total</t>
  </si>
  <si>
    <t xml:space="preserve">Il faudra donc constater une dépréciation de </t>
  </si>
  <si>
    <t>Le coût de démantèlement est donc de 1 million par an sur les années 21 à 25.</t>
  </si>
  <si>
    <t>Il faut déterminer la valeur actuelle de ce coût</t>
  </si>
  <si>
    <t>La provision pour démantèlement initiale est donc de 1 059 568,93€.</t>
  </si>
  <si>
    <t>Elle est inscrite dans un actif qui sera amorti sur 20 ans, la durée d'exploitation de l'installation concernée</t>
  </si>
  <si>
    <t>B</t>
  </si>
  <si>
    <t>Actif de démantèlement</t>
  </si>
  <si>
    <t>Provision démantèlement</t>
  </si>
  <si>
    <t>A la fin de la première année, il faudra :</t>
  </si>
  <si>
    <t>- amortir l'actif de démantèlement sur un an</t>
  </si>
  <si>
    <t>- tenir compte de l'écoulement temporel sur la valeur actuelle de la provision</t>
  </si>
  <si>
    <t>Pour cela, il faut calculer une nouvelle valeur actuelle un an plus tard.</t>
  </si>
  <si>
    <t>L'effet de l'écoulement du temps est donc de</t>
  </si>
  <si>
    <t>euros, présenté en charges financières</t>
  </si>
  <si>
    <t>CR</t>
  </si>
  <si>
    <t>Dotation amortissement</t>
  </si>
  <si>
    <t>Amort. actif démantèlement</t>
  </si>
  <si>
    <t>Charges financières</t>
  </si>
  <si>
    <t xml:space="preserve">A la clôture de l'exercice N, la valeur de l'UGT goodwill incluse est de </t>
  </si>
  <si>
    <t>M€</t>
  </si>
  <si>
    <t>Comme sa valeur recouvrable est de 2 000M€, il faut procéder à une dépréciation à hauteur de 470M€</t>
  </si>
  <si>
    <t>Cette dépréciation doit être imputée en priorité sur le goodwill, puis sur les autres actifs au prorata de leur valeur comptable.</t>
  </si>
  <si>
    <t>On a donc</t>
  </si>
  <si>
    <t>Actif</t>
  </si>
  <si>
    <t>Valeur comptable</t>
  </si>
  <si>
    <t>Dépréciation affectée</t>
  </si>
  <si>
    <t>Goodwill</t>
  </si>
  <si>
    <t>Mine</t>
  </si>
  <si>
    <t>Traitement</t>
  </si>
  <si>
    <t>Extraction</t>
  </si>
  <si>
    <t>Voie ferrée</t>
  </si>
  <si>
    <t>A la fin de l'exercice N+5, on va donc reprendre la dépréciation.</t>
  </si>
  <si>
    <t>Mais la valeur de l'actif après reprise ne peut pas excéder la valeur qui aurait été la sienne en application du plan d'amortissement initial</t>
  </si>
  <si>
    <t>Il faut donc calculer celle-ci pour plafonner la reprise de dépréciation.</t>
  </si>
  <si>
    <t>La dépréciation du goodwill ne peut quant à elle jamais être reprise.</t>
  </si>
  <si>
    <t>Calcul de la valeur nette comptable théorique fin N+5</t>
  </si>
  <si>
    <t>Durée de vie</t>
  </si>
  <si>
    <t>Dotation annuelle</t>
  </si>
  <si>
    <t>Dotation N+1-N+5</t>
  </si>
  <si>
    <t>VNC fin N+5</t>
  </si>
  <si>
    <t>Calcul de la valeur nette comptable effective fin N+5</t>
  </si>
  <si>
    <t>Reprise potentielle</t>
  </si>
  <si>
    <t>VNC après reprise</t>
  </si>
  <si>
    <t>Plafond</t>
  </si>
  <si>
    <t>Reprise plafonnée</t>
  </si>
  <si>
    <t>VNC après reprise plafonnée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</si>
</sst>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_);[Red]\(#,##0.00\ &quot;€&quot;\)"/>
    <numFmt numFmtId="43" formatCode="_ * #,##0.00_)_ ;_ * \(#,##0.00\)_ ;_ * &quot;-&quot;??_)_ ;_ @_ "/>
    <numFmt numFmtId="165" formatCode="0.0%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8" fontId="0" fillId="0" borderId="0" xfId="1" applyNumberFormat="1" applyFont="1"/>
    <xf numFmtId="9" fontId="0" fillId="0" borderId="0" xfId="1" applyNumberFormat="1" applyFont="1"/>
    <xf numFmtId="165" fontId="0" fillId="0" borderId="0" xfId="2" applyNumberFormat="1" applyFont="1"/>
    <xf numFmtId="1" fontId="0" fillId="0" borderId="0" xfId="1" applyNumberFormat="1" applyFont="1"/>
    <xf numFmtId="10" fontId="0" fillId="0" borderId="0" xfId="1" applyNumberFormat="1" applyFont="1"/>
    <xf numFmtId="0" fontId="3" fillId="0" borderId="0" xfId="0" applyFont="1"/>
    <xf numFmtId="43" fontId="3" fillId="0" borderId="0" xfId="0" applyNumberFormat="1" applyFont="1"/>
    <xf numFmtId="3" fontId="0" fillId="0" borderId="0" xfId="0" applyNumberFormat="1"/>
    <xf numFmtId="0" fontId="0" fillId="0" borderId="0" xfId="0" quotePrefix="1"/>
    <xf numFmtId="43" fontId="3" fillId="0" borderId="0" xfId="1" applyFont="1"/>
    <xf numFmtId="43" fontId="0" fillId="0" borderId="0" xfId="1" applyNumberFormat="1" applyFont="1"/>
  </cellXfs>
  <cellStyles count="3">
    <cellStyle name="Milliers" xfId="1" builtinId="3"/>
    <cellStyle name="Normal" xfId="0" builtinId="0"/>
    <cellStyle name="Pourcentage" xfId="2" builtinId="5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5" formatCode="_ * #,##0.00_)_ ;_ * \(#,##0.00\)_ ;_ * &quot;-&quot;??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5" formatCode="_ * #,##0.00_)_ ;_ * \(#,##0.00\)_ ;_ * &quot;-&quot;??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5" formatCode="_ * #,##0.00_)_ ;_ * \(#,##0.00\)_ ;_ * &quot;-&quot;??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5" formatCode="_ * #,##0.00_)_ ;_ * \(#,##0.00\)_ ;_ * &quot;-&quot;??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5" formatCode="_ * #,##0.00_)_ ;_ * \(#,##0.00\)_ ;_ * &quot;-&quot;??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5" formatCode="_ * #,##0.00_)_ ;_ * \(#,##0.00\)_ ;_ * &quot;-&quot;??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5" formatCode="_ * #,##0.00_)_ ;_ * \(#,##0.00\)_ ;_ * &quot;-&quot;??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5" formatCode="_ * #,##0.00_)_ ;_ * \(#,##0.00\)_ ;_ * &quot;-&quot;??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5" formatCode="_ * #,##0.00_)_ ;_ * \(#,##0.00\)_ ;_ * &quot;-&quot;??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AD6E4D-614F-614F-9741-A2D6D78C08E5}" name="Tableau1" displayName="Tableau1" ref="A7:B17" totalsRowShown="0" headerRowDxfId="42" dataDxfId="43" headerRowCellStyle="Milliers" dataCellStyle="Milliers">
  <autoFilter ref="A7:B17" xr:uid="{18AD6E4D-614F-614F-9741-A2D6D78C08E5}"/>
  <tableColumns count="2">
    <tableColumn id="1" xr3:uid="{7DC5985F-ADC9-7744-8D29-781FE02674F0}" name="Période" dataDxfId="45" dataCellStyle="Milliers"/>
    <tableColumn id="2" xr3:uid="{1E901D31-E5D0-814C-AD7D-B2180D6C47DD}" name="Valeur nette" dataDxfId="44" dataCellStyle="Milliers">
      <calculatedColumnFormula>B7-$B$3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B7DB2F-DF13-ED47-B86F-4B48C8134363}" name="Tableau2" displayName="Tableau2" ref="A22:G28" totalsRowShown="0" headerRowDxfId="33" dataDxfId="34" headerRowCellStyle="Milliers" dataCellStyle="Milliers">
  <autoFilter ref="A22:G28" xr:uid="{0BB7DB2F-DF13-ED47-B86F-4B48C8134363}"/>
  <tableColumns count="7">
    <tableColumn id="1" xr3:uid="{C5C13681-DE9F-6547-8978-4560C696F82F}" name="Période" dataDxfId="41" dataCellStyle="Milliers"/>
    <tableColumn id="2" xr3:uid="{6F0473CD-A6EA-F948-B44F-7A1170C78364}" name="1" dataDxfId="40" dataCellStyle="Milliers"/>
    <tableColumn id="3" xr3:uid="{195C1239-89F9-C04F-8902-5CF14540349D}" name="2" dataDxfId="39" dataCellStyle="Milliers"/>
    <tableColumn id="4" xr3:uid="{65DDC6E0-430C-884D-87B3-33737C80DEBC}" name="3" dataDxfId="38" dataCellStyle="Milliers"/>
    <tableColumn id="5" xr3:uid="{A661F03B-10CF-2D43-B4F5-A928E808B8B7}" name="4" dataDxfId="37" dataCellStyle="Milliers"/>
    <tableColumn id="6" xr3:uid="{B2E1EC86-21C1-D043-ACFA-9DA470D89E94}" name="5" dataDxfId="36" dataCellStyle="Milliers"/>
    <tableColumn id="7" xr3:uid="{7044D8EA-389D-5D45-BEA6-79BE2FBA504F}" name="6" dataDxfId="35" dataCellStyle="Milliers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0481C81-8018-FF4E-8FCE-5E8C72E98F06}" name="Tableau4" displayName="Tableau4" ref="B4:E10" totalsRowShown="0">
  <autoFilter ref="B4:E10" xr:uid="{D0481C81-8018-FF4E-8FCE-5E8C72E98F06}"/>
  <tableColumns count="4">
    <tableColumn id="1" xr3:uid="{113AD1D5-7A96-854F-8F4A-DA2E470FA570}" name="Catégorie"/>
    <tableColumn id="2" xr3:uid="{9858D2CB-4874-AD45-8A77-FA7CF37A102B}" name="Encours" dataDxfId="32" dataCellStyle="Milliers"/>
    <tableColumn id="3" xr3:uid="{C4F7C80B-B8C6-134C-A23A-38F2B9D5FA7A}" name="Taux de défaut"/>
    <tableColumn id="4" xr3:uid="{CEEF0C67-2A6A-CA4D-B67F-739DC34E91B9}" name="Défaut" dataDxfId="31" dataCellStyle="Milliers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72BD089-A37F-4046-A559-037E4149C212}" name="Tableau5" displayName="Tableau5" ref="A4:C10" totalsRowShown="0">
  <autoFilter ref="A4:C10" xr:uid="{F72BD089-A37F-4046-A559-037E4149C212}"/>
  <tableColumns count="3">
    <tableColumn id="1" xr3:uid="{C059A66D-7546-FD4D-A697-55E1A08C0A17}" name="Période"/>
    <tableColumn id="2" xr3:uid="{090BC849-3038-8144-8D56-E85968F0D5B3}" name="Flux" dataDxfId="30" dataCellStyle="Milliers"/>
    <tableColumn id="3" xr3:uid="{6E3469C3-3BA7-8C4B-9506-4424B82CA036}" name="Valeur actuelle" dataDxfId="29" dataCellStyle="Milliers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0E3FE78-F549-9246-A781-D37812CCE2DD}" name="Tableau57" displayName="Tableau57" ref="A23:C29" totalsRowShown="0">
  <autoFilter ref="A23:C29" xr:uid="{10E3FE78-F549-9246-A781-D37812CCE2DD}"/>
  <tableColumns count="3">
    <tableColumn id="1" xr3:uid="{5D912BF2-0BF5-0A49-859E-0D290638E427}" name="Période"/>
    <tableColumn id="2" xr3:uid="{10ECE45A-FF7D-F64D-A8C3-0D06178306DB}" name="Flux" dataDxfId="28" dataCellStyle="Milliers"/>
    <tableColumn id="3" xr3:uid="{76E8F3A5-F692-A147-A37C-C4126036F9FA}" name="Valeur actuelle" dataDxfId="27" dataCellStyle="Milliers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BDFECCF-AEE9-7049-8AFF-D5181163037B}" name="Tableau7" displayName="Tableau7" ref="A6:D12" totalsRowShown="0" headerRowDxfId="21" dataDxfId="22" headerRowCellStyle="Milliers" dataCellStyle="Milliers">
  <autoFilter ref="A6:D12" xr:uid="{0BDFECCF-AEE9-7049-8AFF-D5181163037B}"/>
  <tableColumns count="4">
    <tableColumn id="1" xr3:uid="{494FC6A2-DA60-E246-A4B0-F3415DA28BFE}" name="Actif" dataDxfId="26" dataCellStyle="Milliers"/>
    <tableColumn id="2" xr3:uid="{2F7E40B1-765B-7144-BEEA-B715B20EDC1B}" name="Valeur comptable" dataDxfId="25" dataCellStyle="Milliers"/>
    <tableColumn id="3" xr3:uid="{5036ECB4-0269-764D-9376-D5B747E51C94}" name="Dépréciation affectée" dataDxfId="24" dataCellStyle="Milliers"/>
    <tableColumn id="4" xr3:uid="{0942E58A-B0F4-7F42-8B8C-F9B09E1F2C24}" name="Valeur nette" dataDxfId="23" dataCellStyle="Milliers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2629C18-C4C0-074A-92DA-D6C9B24634CA}" name="Tableau79" displayName="Tableau79" ref="A21:F26" totalsRowShown="0" headerRowDxfId="20" dataDxfId="19" headerRowCellStyle="Milliers" dataCellStyle="Milliers">
  <autoFilter ref="A21:F26" xr:uid="{E2629C18-C4C0-074A-92DA-D6C9B24634CA}"/>
  <tableColumns count="6">
    <tableColumn id="1" xr3:uid="{9A67FC00-DC5C-8D49-B3DC-7F09F77916B4}" name="Actif" dataDxfId="18" dataCellStyle="Milliers"/>
    <tableColumn id="2" xr3:uid="{4154DE00-4223-F640-B2B2-59768C87ACA5}" name="Valeur comptable" dataDxfId="17" dataCellStyle="Milliers"/>
    <tableColumn id="3" xr3:uid="{EB137ED0-24BD-D741-8B66-788742B7B327}" name="Durée de vie" dataDxfId="16" dataCellStyle="Milliers"/>
    <tableColumn id="4" xr3:uid="{B4E6A2A8-19BA-5743-9FBB-64F5EBA942E4}" name="Dotation annuelle" dataDxfId="15" dataCellStyle="Milliers"/>
    <tableColumn id="5" xr3:uid="{678FCA63-3F52-AD4E-81ED-D685FF4EAEAC}" name="Dotation N+1-N+5" dataDxfId="14" dataCellStyle="Milliers">
      <calculatedColumnFormula>Tableau79[[#This Row],[Dotation annuelle]]*5</calculatedColumnFormula>
    </tableColumn>
    <tableColumn id="6" xr3:uid="{04ED43F4-3EB5-0241-A8B6-4D6F559A6C1F}" name="VNC fin N+5" dataDxfId="13" dataCellStyle="Milliers">
      <calculatedColumnFormula>Tableau79[[#This Row],[Valeur comptable]]-Tableau79[[#This Row],[Dotation N+1-N+5]]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0C7D1D3-A0F7-7244-AAB8-10EBC813D55D}" name="Tableau7910" displayName="Tableau7910" ref="A30:K35" totalsRowShown="0" headerRowDxfId="12" dataDxfId="11" headerRowCellStyle="Milliers" dataCellStyle="Milliers">
  <autoFilter ref="A30:K35" xr:uid="{40C7D1D3-A0F7-7244-AAB8-10EBC813D55D}"/>
  <tableColumns count="11">
    <tableColumn id="1" xr3:uid="{73369D08-B1A3-7B44-A3A0-3DB38AB5F974}" name="Actif" dataDxfId="10" dataCellStyle="Milliers"/>
    <tableColumn id="2" xr3:uid="{789C0BB5-61B3-374D-9054-7C31A19A8134}" name="Valeur comptable" dataDxfId="9" dataCellStyle="Milliers"/>
    <tableColumn id="3" xr3:uid="{76751A40-C630-5442-998D-B4391D744C6E}" name="Durée de vie" dataDxfId="8" dataCellStyle="Milliers"/>
    <tableColumn id="4" xr3:uid="{E8CBF0B0-625F-A94C-B4F3-DC791FC1E2EB}" name="Dotation annuelle" dataDxfId="7" dataCellStyle="Milliers"/>
    <tableColumn id="5" xr3:uid="{AB60B390-2D03-C546-8A6A-EFAF05244D9F}" name="Dotation N+1-N+5" dataDxfId="6" dataCellStyle="Milliers">
      <calculatedColumnFormula>Tableau7910[[#This Row],[Dotation annuelle]]*5</calculatedColumnFormula>
    </tableColumn>
    <tableColumn id="6" xr3:uid="{F0554A85-29CC-1C4D-BD4D-F3BAC5F0D8CC}" name="VNC fin N+5" dataDxfId="5" dataCellStyle="Milliers">
      <calculatedColumnFormula>Tableau7910[[#This Row],[Valeur comptable]]-Tableau7910[[#This Row],[Dotation N+1-N+5]]</calculatedColumnFormula>
    </tableColumn>
    <tableColumn id="7" xr3:uid="{56BE6EC9-1F05-3547-A130-32880794C85E}" name="Reprise potentielle" dataDxfId="4" dataCellStyle="Milliers">
      <calculatedColumnFormula>C8</calculatedColumnFormula>
    </tableColumn>
    <tableColumn id="8" xr3:uid="{6C8B6044-5A36-1145-9A3A-B5822D236D66}" name="VNC après reprise" dataDxfId="3" dataCellStyle="Milliers">
      <calculatedColumnFormula>Tableau7910[[#This Row],[VNC fin N+5]]+Tableau7910[[#This Row],[Reprise potentielle]]</calculatedColumnFormula>
    </tableColumn>
    <tableColumn id="9" xr3:uid="{95008453-8A9C-EC45-B195-622E28162F50}" name="Plafond" dataDxfId="2" dataCellStyle="Milliers">
      <calculatedColumnFormula>F22</calculatedColumnFormula>
    </tableColumn>
    <tableColumn id="10" xr3:uid="{5901939F-157D-9949-9848-206D56B99B50}" name="Reprise plafonnée" dataDxfId="1" dataCellStyle="Milliers">
      <calculatedColumnFormula>Tableau7910[[#This Row],[Reprise potentielle]]-(Tableau7910[[#This Row],[VNC après reprise]]-Tableau7910[[#This Row],[Plafond]])</calculatedColumnFormula>
    </tableColumn>
    <tableColumn id="11" xr3:uid="{26AD3577-58FB-A642-B27A-E05436DC8779}" name="VNC après reprise plafonnée" dataDxfId="0" dataCellStyle="Milliers">
      <calculatedColumnFormula>Tableau7910[[#This Row],[VNC fin N+5]]+Tableau7910[[#This Row],[Reprise plafonnée]]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0313-E866-DD47-B05F-F13540724950}">
  <dimension ref="A1:G33"/>
  <sheetViews>
    <sheetView workbookViewId="0">
      <selection activeCell="G34" sqref="G34"/>
    </sheetView>
  </sheetViews>
  <sheetFormatPr baseColWidth="10" defaultRowHeight="16" x14ac:dyDescent="0.2"/>
  <cols>
    <col min="1" max="1" width="14.33203125" style="1" customWidth="1"/>
    <col min="2" max="2" width="14" style="1" customWidth="1"/>
    <col min="3" max="4" width="12.6640625" style="1" bestFit="1" customWidth="1"/>
    <col min="5" max="5" width="12.83203125" style="1" bestFit="1" customWidth="1"/>
    <col min="6" max="7" width="12.6640625" style="1" bestFit="1" customWidth="1"/>
    <col min="8" max="16384" width="10.83203125" style="1"/>
  </cols>
  <sheetData>
    <row r="1" spans="1:5" x14ac:dyDescent="0.2">
      <c r="A1" s="1" t="s">
        <v>14</v>
      </c>
      <c r="B1" s="1">
        <v>5000000</v>
      </c>
    </row>
    <row r="2" spans="1:5" x14ac:dyDescent="0.2">
      <c r="A2" s="1" t="s">
        <v>15</v>
      </c>
      <c r="B2" s="1">
        <v>500000</v>
      </c>
    </row>
    <row r="3" spans="1:5" x14ac:dyDescent="0.2">
      <c r="A3" s="1" t="s">
        <v>16</v>
      </c>
      <c r="B3" s="1">
        <f>(B1-B2)/10</f>
        <v>450000</v>
      </c>
    </row>
    <row r="5" spans="1:5" x14ac:dyDescent="0.2">
      <c r="A5" s="1" t="s">
        <v>17</v>
      </c>
    </row>
    <row r="7" spans="1:5" x14ac:dyDescent="0.2">
      <c r="A7" s="1" t="s">
        <v>18</v>
      </c>
      <c r="B7" s="1" t="s">
        <v>19</v>
      </c>
    </row>
    <row r="8" spans="1:5" x14ac:dyDescent="0.2">
      <c r="A8" s="1" t="s">
        <v>1</v>
      </c>
      <c r="B8" s="1">
        <f>B1-B3</f>
        <v>4550000</v>
      </c>
    </row>
    <row r="9" spans="1:5" x14ac:dyDescent="0.2">
      <c r="A9" s="1" t="s">
        <v>2</v>
      </c>
      <c r="B9" s="1">
        <f>B8-$B$3</f>
        <v>4100000</v>
      </c>
    </row>
    <row r="10" spans="1:5" x14ac:dyDescent="0.2">
      <c r="A10" s="1" t="s">
        <v>3</v>
      </c>
      <c r="B10" s="1">
        <f>B9-$B$3</f>
        <v>3650000</v>
      </c>
    </row>
    <row r="11" spans="1:5" x14ac:dyDescent="0.2">
      <c r="A11" s="1" t="s">
        <v>4</v>
      </c>
      <c r="B11" s="1">
        <f>B10-$B$3</f>
        <v>3200000</v>
      </c>
      <c r="E11" s="2"/>
    </row>
    <row r="12" spans="1:5" x14ac:dyDescent="0.2">
      <c r="A12" s="1" t="s">
        <v>5</v>
      </c>
      <c r="B12" s="1">
        <f>B11-$B$3</f>
        <v>2750000</v>
      </c>
    </row>
    <row r="13" spans="1:5" x14ac:dyDescent="0.2">
      <c r="A13" s="1" t="s">
        <v>6</v>
      </c>
      <c r="B13" s="1">
        <f>B12-$B$3</f>
        <v>2300000</v>
      </c>
    </row>
    <row r="14" spans="1:5" x14ac:dyDescent="0.2">
      <c r="A14" s="1" t="s">
        <v>7</v>
      </c>
      <c r="B14" s="1">
        <f>B13-$B$3</f>
        <v>1850000</v>
      </c>
    </row>
    <row r="15" spans="1:5" x14ac:dyDescent="0.2">
      <c r="A15" s="1" t="s">
        <v>8</v>
      </c>
      <c r="B15" s="1">
        <f>B14-$B$3</f>
        <v>1400000</v>
      </c>
    </row>
    <row r="16" spans="1:5" x14ac:dyDescent="0.2">
      <c r="A16" s="1" t="s">
        <v>9</v>
      </c>
      <c r="B16" s="1">
        <f>B15-$B$3</f>
        <v>950000</v>
      </c>
    </row>
    <row r="17" spans="1:7" x14ac:dyDescent="0.2">
      <c r="A17" s="1" t="s">
        <v>10</v>
      </c>
      <c r="B17" s="1">
        <f>B16-$B$3</f>
        <v>500000</v>
      </c>
    </row>
    <row r="19" spans="1:7" x14ac:dyDescent="0.2">
      <c r="A19" s="1" t="s">
        <v>21</v>
      </c>
    </row>
    <row r="20" spans="1:7" x14ac:dyDescent="0.2">
      <c r="A20" s="1" t="s">
        <v>20</v>
      </c>
    </row>
    <row r="22" spans="1:7" x14ac:dyDescent="0.2">
      <c r="A22" s="1" t="s">
        <v>18</v>
      </c>
      <c r="B22" s="5" t="s">
        <v>24</v>
      </c>
      <c r="C22" s="5" t="s">
        <v>25</v>
      </c>
      <c r="D22" s="5" t="s">
        <v>26</v>
      </c>
      <c r="E22" s="5" t="s">
        <v>27</v>
      </c>
      <c r="F22" s="5" t="s">
        <v>28</v>
      </c>
      <c r="G22" s="5" t="s">
        <v>29</v>
      </c>
    </row>
    <row r="23" spans="1:7" x14ac:dyDescent="0.2">
      <c r="A23" s="1" t="s">
        <v>22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2">
      <c r="A24" s="1" t="s">
        <v>11</v>
      </c>
      <c r="B24" s="1">
        <v>1530000</v>
      </c>
      <c r="C24" s="1">
        <f>MROUND(B24*1.035,1000)</f>
        <v>1584000</v>
      </c>
      <c r="D24" s="1">
        <f t="shared" ref="D24:G24" si="0">MROUND(C24*1.035,1000)</f>
        <v>1639000</v>
      </c>
      <c r="E24" s="1">
        <f t="shared" si="0"/>
        <v>1696000</v>
      </c>
      <c r="F24" s="1">
        <f t="shared" si="0"/>
        <v>1755000</v>
      </c>
      <c r="G24" s="1">
        <f t="shared" si="0"/>
        <v>1816000</v>
      </c>
    </row>
    <row r="25" spans="1:7" x14ac:dyDescent="0.2">
      <c r="A25" s="1" t="s">
        <v>12</v>
      </c>
      <c r="B25" s="3">
        <v>0.6</v>
      </c>
      <c r="C25" s="4">
        <f>B25+0.005</f>
        <v>0.60499999999999998</v>
      </c>
      <c r="D25" s="4">
        <f t="shared" ref="D25:G25" si="1">C25+0.005</f>
        <v>0.61</v>
      </c>
      <c r="E25" s="4">
        <f t="shared" si="1"/>
        <v>0.61499999999999999</v>
      </c>
      <c r="F25" s="4">
        <f t="shared" si="1"/>
        <v>0.62</v>
      </c>
      <c r="G25" s="4">
        <f t="shared" si="1"/>
        <v>0.625</v>
      </c>
    </row>
    <row r="26" spans="1:7" x14ac:dyDescent="0.2">
      <c r="A26" s="1" t="s">
        <v>13</v>
      </c>
      <c r="B26" s="1">
        <v>400000</v>
      </c>
      <c r="C26" s="1">
        <f>MROUND(B26*1.03,1000)</f>
        <v>412000</v>
      </c>
      <c r="D26" s="1">
        <f t="shared" ref="D26:G26" si="2">MROUND(C26*1.03,1000)</f>
        <v>424000</v>
      </c>
      <c r="E26" s="1">
        <f t="shared" si="2"/>
        <v>437000</v>
      </c>
      <c r="F26" s="1">
        <f t="shared" si="2"/>
        <v>450000</v>
      </c>
      <c r="G26" s="1">
        <f t="shared" si="2"/>
        <v>464000</v>
      </c>
    </row>
    <row r="27" spans="1:7" x14ac:dyDescent="0.2">
      <c r="A27" s="1" t="s">
        <v>0</v>
      </c>
      <c r="B27" s="1">
        <f>B24*B25-B26</f>
        <v>518000</v>
      </c>
      <c r="C27" s="1">
        <f>MROUND(B27*1.03,1000)</f>
        <v>534000</v>
      </c>
      <c r="D27" s="1">
        <f t="shared" ref="D27:G27" si="3">MROUND(C27*1.03,1000)</f>
        <v>550000</v>
      </c>
      <c r="E27" s="1">
        <f t="shared" si="3"/>
        <v>567000</v>
      </c>
      <c r="F27" s="1">
        <f t="shared" si="3"/>
        <v>584000</v>
      </c>
      <c r="G27" s="1">
        <f>MROUND(F27*1.03,1000)+500000</f>
        <v>1102000</v>
      </c>
    </row>
    <row r="28" spans="1:7" x14ac:dyDescent="0.2">
      <c r="A28" s="1" t="s">
        <v>23</v>
      </c>
      <c r="B28" s="1">
        <f>B27/(1+0.09)^B22</f>
        <v>475229.35779816512</v>
      </c>
      <c r="C28" s="1">
        <f t="shared" ref="C28:G28" si="4">C27/(1+0.09)^C22</f>
        <v>449457.11640434299</v>
      </c>
      <c r="D28" s="1">
        <f t="shared" si="4"/>
        <v>424700.91403358529</v>
      </c>
      <c r="E28" s="1">
        <f t="shared" si="4"/>
        <v>401677.09467396641</v>
      </c>
      <c r="F28" s="1">
        <f t="shared" si="4"/>
        <v>379559.92959823366</v>
      </c>
      <c r="G28" s="1">
        <f t="shared" si="4"/>
        <v>657086.59422089579</v>
      </c>
    </row>
    <row r="30" spans="1:7" x14ac:dyDescent="0.2">
      <c r="A30" s="1" t="s">
        <v>30</v>
      </c>
      <c r="E30" s="1">
        <f>SUM(B28:G28)</f>
        <v>2787711.0067291893</v>
      </c>
    </row>
    <row r="32" spans="1:7" x14ac:dyDescent="0.2">
      <c r="A32" s="1" t="s">
        <v>31</v>
      </c>
    </row>
    <row r="33" spans="1:7" x14ac:dyDescent="0.2">
      <c r="A33" s="1" t="s">
        <v>32</v>
      </c>
      <c r="F33" s="1">
        <f>B11-2787711</f>
        <v>412289</v>
      </c>
      <c r="G33" s="1" t="s">
        <v>33</v>
      </c>
    </row>
  </sheetData>
  <phoneticPr fontId="2" type="noConversion"/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E741-6B74-4349-9630-DAA606B04C7A}">
  <dimension ref="A1:F12"/>
  <sheetViews>
    <sheetView workbookViewId="0">
      <selection activeCell="A13" sqref="A13"/>
    </sheetView>
  </sheetViews>
  <sheetFormatPr baseColWidth="10" defaultRowHeight="16" x14ac:dyDescent="0.2"/>
  <cols>
    <col min="2" max="2" width="11.5" customWidth="1"/>
    <col min="3" max="3" width="12.6640625" bestFit="1" customWidth="1"/>
    <col min="4" max="4" width="15" customWidth="1"/>
  </cols>
  <sheetData>
    <row r="1" spans="1:6" x14ac:dyDescent="0.2">
      <c r="A1" t="s">
        <v>34</v>
      </c>
    </row>
    <row r="2" spans="1:6" x14ac:dyDescent="0.2">
      <c r="A2" t="s">
        <v>35</v>
      </c>
    </row>
    <row r="4" spans="1:6" x14ac:dyDescent="0.2">
      <c r="B4" t="s">
        <v>36</v>
      </c>
      <c r="C4" t="s">
        <v>37</v>
      </c>
      <c r="D4" t="s">
        <v>38</v>
      </c>
      <c r="E4" t="s">
        <v>39</v>
      </c>
    </row>
    <row r="5" spans="1:6" x14ac:dyDescent="0.2">
      <c r="B5">
        <v>1</v>
      </c>
      <c r="C5" s="1">
        <v>1000000</v>
      </c>
      <c r="D5" s="6">
        <v>1E-3</v>
      </c>
      <c r="E5" s="1">
        <f>C5*D5</f>
        <v>1000</v>
      </c>
      <c r="F5" s="1"/>
    </row>
    <row r="6" spans="1:6" x14ac:dyDescent="0.2">
      <c r="B6">
        <v>2</v>
      </c>
      <c r="C6" s="1">
        <v>1250000</v>
      </c>
      <c r="D6" s="6">
        <v>5.0000000000000001E-3</v>
      </c>
      <c r="E6" s="1">
        <f t="shared" ref="E6:E9" si="0">C6*D6</f>
        <v>6250</v>
      </c>
      <c r="F6" s="1"/>
    </row>
    <row r="7" spans="1:6" x14ac:dyDescent="0.2">
      <c r="B7">
        <v>3</v>
      </c>
      <c r="C7" s="1">
        <v>80000</v>
      </c>
      <c r="D7" s="3">
        <v>0.01</v>
      </c>
      <c r="E7" s="1">
        <f t="shared" si="0"/>
        <v>800</v>
      </c>
      <c r="F7" s="1"/>
    </row>
    <row r="8" spans="1:6" x14ac:dyDescent="0.2">
      <c r="B8">
        <v>4</v>
      </c>
      <c r="C8" s="1">
        <v>500000</v>
      </c>
      <c r="D8" s="6">
        <v>1.4999999999999999E-2</v>
      </c>
      <c r="E8" s="1">
        <f t="shared" si="0"/>
        <v>7500</v>
      </c>
      <c r="F8" s="1"/>
    </row>
    <row r="9" spans="1:6" x14ac:dyDescent="0.2">
      <c r="B9">
        <v>5</v>
      </c>
      <c r="C9" s="1">
        <v>250000</v>
      </c>
      <c r="D9" s="3">
        <v>0.03</v>
      </c>
      <c r="E9" s="1">
        <f t="shared" si="0"/>
        <v>7500</v>
      </c>
      <c r="F9" s="1"/>
    </row>
    <row r="10" spans="1:6" x14ac:dyDescent="0.2">
      <c r="B10" s="7" t="s">
        <v>40</v>
      </c>
      <c r="C10" s="8">
        <f>SUM(C5:C9)</f>
        <v>3080000</v>
      </c>
      <c r="D10" s="7"/>
      <c r="E10" s="8">
        <f>SUM(E5:E9)</f>
        <v>23050</v>
      </c>
    </row>
    <row r="12" spans="1:6" x14ac:dyDescent="0.2">
      <c r="A12" t="s">
        <v>41</v>
      </c>
      <c r="E12" s="9">
        <v>23050</v>
      </c>
      <c r="F12" t="s">
        <v>33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B48DC-B85D-1841-A68D-B70117A1DEB0}">
  <dimension ref="A1:E37"/>
  <sheetViews>
    <sheetView workbookViewId="0">
      <selection activeCell="A38" sqref="A38"/>
    </sheetView>
  </sheetViews>
  <sheetFormatPr baseColWidth="10" defaultRowHeight="16" x14ac:dyDescent="0.2"/>
  <cols>
    <col min="2" max="2" width="21.6640625" customWidth="1"/>
    <col min="3" max="3" width="23.5" customWidth="1"/>
    <col min="4" max="4" width="12.83203125" style="1" bestFit="1" customWidth="1"/>
    <col min="5" max="5" width="12.6640625" style="1" bestFit="1" customWidth="1"/>
  </cols>
  <sheetData>
    <row r="1" spans="1:5" x14ac:dyDescent="0.2">
      <c r="A1" t="s">
        <v>42</v>
      </c>
    </row>
    <row r="2" spans="1:5" x14ac:dyDescent="0.2">
      <c r="A2" t="s">
        <v>43</v>
      </c>
    </row>
    <row r="4" spans="1:5" x14ac:dyDescent="0.2">
      <c r="A4" t="s">
        <v>18</v>
      </c>
      <c r="B4" t="s">
        <v>0</v>
      </c>
      <c r="C4" t="s">
        <v>23</v>
      </c>
    </row>
    <row r="5" spans="1:5" x14ac:dyDescent="0.2">
      <c r="A5">
        <v>21</v>
      </c>
      <c r="B5" s="1">
        <v>1000000</v>
      </c>
      <c r="C5" s="1">
        <f>B5/(1+7%)^A5</f>
        <v>241513.08674193334</v>
      </c>
    </row>
    <row r="6" spans="1:5" x14ac:dyDescent="0.2">
      <c r="A6">
        <v>22</v>
      </c>
      <c r="B6" s="1">
        <v>1000000</v>
      </c>
      <c r="C6" s="1">
        <f t="shared" ref="C6:C9" si="0">B6/(1+7%)^A6</f>
        <v>225713.16517937696</v>
      </c>
    </row>
    <row r="7" spans="1:5" x14ac:dyDescent="0.2">
      <c r="A7">
        <v>23</v>
      </c>
      <c r="B7" s="1">
        <v>1000000</v>
      </c>
      <c r="C7" s="1">
        <f t="shared" si="0"/>
        <v>210946.88334521212</v>
      </c>
    </row>
    <row r="8" spans="1:5" x14ac:dyDescent="0.2">
      <c r="A8">
        <v>24</v>
      </c>
      <c r="B8" s="1">
        <v>1000000</v>
      </c>
      <c r="C8" s="1">
        <f t="shared" si="0"/>
        <v>197146.61994879635</v>
      </c>
    </row>
    <row r="9" spans="1:5" x14ac:dyDescent="0.2">
      <c r="A9">
        <v>25</v>
      </c>
      <c r="B9" s="1">
        <v>1000000</v>
      </c>
      <c r="C9" s="1">
        <f t="shared" si="0"/>
        <v>184249.17752223957</v>
      </c>
    </row>
    <row r="10" spans="1:5" x14ac:dyDescent="0.2">
      <c r="A10" s="7" t="s">
        <v>40</v>
      </c>
      <c r="B10" s="8">
        <f>SUM(B5:B9)</f>
        <v>5000000</v>
      </c>
      <c r="C10" s="8">
        <f>SUM(C5:C9)</f>
        <v>1059568.9327375584</v>
      </c>
    </row>
    <row r="12" spans="1:5" x14ac:dyDescent="0.2">
      <c r="A12" t="s">
        <v>44</v>
      </c>
    </row>
    <row r="13" spans="1:5" x14ac:dyDescent="0.2">
      <c r="A13" t="s">
        <v>45</v>
      </c>
    </row>
    <row r="15" spans="1:5" x14ac:dyDescent="0.2">
      <c r="A15" t="s">
        <v>46</v>
      </c>
      <c r="B15" t="s">
        <v>47</v>
      </c>
      <c r="D15" s="1">
        <f>C10</f>
        <v>1059568.9327375584</v>
      </c>
    </row>
    <row r="16" spans="1:5" x14ac:dyDescent="0.2">
      <c r="A16" t="s">
        <v>46</v>
      </c>
      <c r="C16" t="s">
        <v>48</v>
      </c>
      <c r="E16" s="1">
        <v>1059568.93</v>
      </c>
    </row>
    <row r="18" spans="1:5" x14ac:dyDescent="0.2">
      <c r="A18" t="s">
        <v>49</v>
      </c>
    </row>
    <row r="19" spans="1:5" x14ac:dyDescent="0.2">
      <c r="B19" s="10" t="s">
        <v>50</v>
      </c>
      <c r="D19" s="1">
        <f>D15/20</f>
        <v>52978.446636877918</v>
      </c>
      <c r="E19" s="1" t="s">
        <v>33</v>
      </c>
    </row>
    <row r="20" spans="1:5" x14ac:dyDescent="0.2">
      <c r="B20" s="10" t="s">
        <v>51</v>
      </c>
    </row>
    <row r="21" spans="1:5" x14ac:dyDescent="0.2">
      <c r="A21" t="s">
        <v>52</v>
      </c>
    </row>
    <row r="23" spans="1:5" x14ac:dyDescent="0.2">
      <c r="A23" t="s">
        <v>18</v>
      </c>
      <c r="B23" t="s">
        <v>0</v>
      </c>
      <c r="C23" t="s">
        <v>23</v>
      </c>
    </row>
    <row r="24" spans="1:5" x14ac:dyDescent="0.2">
      <c r="A24">
        <v>20</v>
      </c>
      <c r="B24" s="1">
        <v>1000000</v>
      </c>
      <c r="C24" s="1">
        <f>B24/(1+7%)^A24</f>
        <v>258419.00281386869</v>
      </c>
    </row>
    <row r="25" spans="1:5" x14ac:dyDescent="0.2">
      <c r="A25">
        <v>21</v>
      </c>
      <c r="B25" s="1">
        <v>1000000</v>
      </c>
      <c r="C25" s="1">
        <f t="shared" ref="C25:C28" si="1">B25/(1+7%)^A25</f>
        <v>241513.08674193334</v>
      </c>
    </row>
    <row r="26" spans="1:5" x14ac:dyDescent="0.2">
      <c r="A26">
        <v>22</v>
      </c>
      <c r="B26" s="1">
        <v>1000000</v>
      </c>
      <c r="C26" s="1">
        <f t="shared" si="1"/>
        <v>225713.16517937696</v>
      </c>
    </row>
    <row r="27" spans="1:5" x14ac:dyDescent="0.2">
      <c r="A27">
        <v>23</v>
      </c>
      <c r="B27" s="1">
        <v>1000000</v>
      </c>
      <c r="C27" s="1">
        <f t="shared" si="1"/>
        <v>210946.88334521212</v>
      </c>
    </row>
    <row r="28" spans="1:5" x14ac:dyDescent="0.2">
      <c r="A28">
        <v>24</v>
      </c>
      <c r="B28" s="1">
        <v>1000000</v>
      </c>
      <c r="C28" s="1">
        <f t="shared" si="1"/>
        <v>197146.61994879635</v>
      </c>
    </row>
    <row r="29" spans="1:5" x14ac:dyDescent="0.2">
      <c r="A29" s="7" t="s">
        <v>40</v>
      </c>
      <c r="B29" s="8">
        <f>SUM(B24:B28)</f>
        <v>5000000</v>
      </c>
      <c r="C29" s="8">
        <f>SUM(C24:C28)</f>
        <v>1133738.7580291876</v>
      </c>
    </row>
    <row r="31" spans="1:5" x14ac:dyDescent="0.2">
      <c r="A31" t="s">
        <v>53</v>
      </c>
      <c r="D31" s="1">
        <f>C29-C10</f>
        <v>74169.825291629182</v>
      </c>
      <c r="E31" s="1" t="s">
        <v>54</v>
      </c>
    </row>
    <row r="33" spans="1:5" x14ac:dyDescent="0.2">
      <c r="A33" t="s">
        <v>55</v>
      </c>
      <c r="B33" t="s">
        <v>56</v>
      </c>
      <c r="D33" s="1">
        <f>D19</f>
        <v>52978.446636877918</v>
      </c>
    </row>
    <row r="34" spans="1:5" x14ac:dyDescent="0.2">
      <c r="A34" t="s">
        <v>46</v>
      </c>
      <c r="C34" t="s">
        <v>57</v>
      </c>
      <c r="E34" s="1">
        <f>D33</f>
        <v>52978.446636877918</v>
      </c>
    </row>
    <row r="36" spans="1:5" x14ac:dyDescent="0.2">
      <c r="A36" t="s">
        <v>55</v>
      </c>
      <c r="B36" t="s">
        <v>58</v>
      </c>
      <c r="D36" s="1">
        <f>D31</f>
        <v>74169.825291629182</v>
      </c>
    </row>
    <row r="37" spans="1:5" x14ac:dyDescent="0.2">
      <c r="A37" t="s">
        <v>46</v>
      </c>
      <c r="C37" t="s">
        <v>48</v>
      </c>
      <c r="E37" s="1">
        <f>D36</f>
        <v>74169.825291629182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249D-3050-C349-A057-FA48D18010E9}">
  <dimension ref="A1:K35"/>
  <sheetViews>
    <sheetView tabSelected="1" topLeftCell="D1" workbookViewId="0">
      <selection activeCell="K35" sqref="K35"/>
    </sheetView>
  </sheetViews>
  <sheetFormatPr baseColWidth="10" defaultRowHeight="16" x14ac:dyDescent="0.2"/>
  <cols>
    <col min="1" max="1" width="10.83203125" style="1"/>
    <col min="2" max="2" width="18.33203125" style="1" customWidth="1"/>
    <col min="3" max="3" width="21.83203125" style="1" customWidth="1"/>
    <col min="4" max="4" width="14" style="1" customWidth="1"/>
    <col min="5" max="5" width="19" style="1" customWidth="1"/>
    <col min="6" max="6" width="10.83203125" style="1"/>
    <col min="7" max="7" width="20" style="1" bestFit="1" customWidth="1"/>
    <col min="8" max="8" width="19.1640625" style="1" bestFit="1" customWidth="1"/>
    <col min="9" max="9" width="10.83203125" style="1"/>
    <col min="10" max="10" width="19.6640625" style="1" bestFit="1" customWidth="1"/>
    <col min="11" max="11" width="28.33203125" style="1" bestFit="1" customWidth="1"/>
    <col min="12" max="16384" width="10.83203125" style="1"/>
  </cols>
  <sheetData>
    <row r="1" spans="1:6" x14ac:dyDescent="0.2">
      <c r="A1" s="1" t="s">
        <v>59</v>
      </c>
      <c r="E1" s="1">
        <f>2170+300</f>
        <v>2470</v>
      </c>
      <c r="F1" s="1" t="s">
        <v>60</v>
      </c>
    </row>
    <row r="2" spans="1:6" x14ac:dyDescent="0.2">
      <c r="A2" s="1" t="s">
        <v>61</v>
      </c>
    </row>
    <row r="3" spans="1:6" x14ac:dyDescent="0.2">
      <c r="A3" s="1" t="s">
        <v>62</v>
      </c>
    </row>
    <row r="4" spans="1:6" x14ac:dyDescent="0.2">
      <c r="A4" s="1" t="s">
        <v>63</v>
      </c>
    </row>
    <row r="6" spans="1:6" x14ac:dyDescent="0.2">
      <c r="A6" s="1" t="s">
        <v>64</v>
      </c>
      <c r="B6" s="1" t="s">
        <v>65</v>
      </c>
      <c r="C6" s="1" t="s">
        <v>66</v>
      </c>
      <c r="D6" s="1" t="s">
        <v>19</v>
      </c>
    </row>
    <row r="7" spans="1:6" x14ac:dyDescent="0.2">
      <c r="A7" s="1" t="s">
        <v>67</v>
      </c>
      <c r="B7" s="1">
        <v>300</v>
      </c>
      <c r="C7" s="1">
        <v>300</v>
      </c>
      <c r="D7" s="1">
        <f>B7-C7</f>
        <v>0</v>
      </c>
    </row>
    <row r="8" spans="1:6" x14ac:dyDescent="0.2">
      <c r="A8" s="1" t="s">
        <v>68</v>
      </c>
      <c r="B8" s="1">
        <v>1500</v>
      </c>
      <c r="C8" s="1">
        <f>170*B8/($B$12-300)</f>
        <v>117.51152073732719</v>
      </c>
      <c r="D8" s="1">
        <f t="shared" ref="D8:D11" si="0">B8-C8</f>
        <v>1382.4884792626729</v>
      </c>
    </row>
    <row r="9" spans="1:6" x14ac:dyDescent="0.2">
      <c r="A9" s="1" t="s">
        <v>70</v>
      </c>
      <c r="B9" s="1">
        <v>240</v>
      </c>
      <c r="C9" s="1">
        <f t="shared" ref="C9:C11" si="1">170*B9/($B$12-300)</f>
        <v>18.801843317972349</v>
      </c>
      <c r="D9" s="1">
        <f t="shared" si="0"/>
        <v>221.19815668202764</v>
      </c>
    </row>
    <row r="10" spans="1:6" x14ac:dyDescent="0.2">
      <c r="A10" s="1" t="s">
        <v>69</v>
      </c>
      <c r="B10" s="1">
        <v>150</v>
      </c>
      <c r="C10" s="1">
        <f t="shared" si="1"/>
        <v>11.751152073732719</v>
      </c>
      <c r="D10" s="1">
        <f t="shared" si="0"/>
        <v>138.24884792626727</v>
      </c>
    </row>
    <row r="11" spans="1:6" x14ac:dyDescent="0.2">
      <c r="A11" s="1" t="s">
        <v>71</v>
      </c>
      <c r="B11" s="1">
        <v>280</v>
      </c>
      <c r="C11" s="1">
        <f t="shared" si="1"/>
        <v>21.93548387096774</v>
      </c>
      <c r="D11" s="1">
        <f t="shared" si="0"/>
        <v>258.06451612903226</v>
      </c>
    </row>
    <row r="12" spans="1:6" x14ac:dyDescent="0.2">
      <c r="A12" s="11" t="s">
        <v>40</v>
      </c>
      <c r="B12" s="11">
        <f>SUM(B7:B11)</f>
        <v>2470</v>
      </c>
      <c r="C12" s="11">
        <f>SUM(C7:C11)</f>
        <v>470</v>
      </c>
      <c r="D12" s="11">
        <f>SUM(D7:D11)</f>
        <v>2000</v>
      </c>
    </row>
    <row r="14" spans="1:6" x14ac:dyDescent="0.2">
      <c r="A14" s="1" t="s">
        <v>72</v>
      </c>
    </row>
    <row r="15" spans="1:6" x14ac:dyDescent="0.2">
      <c r="A15" s="1" t="s">
        <v>73</v>
      </c>
    </row>
    <row r="16" spans="1:6" x14ac:dyDescent="0.2">
      <c r="A16" s="1" t="s">
        <v>74</v>
      </c>
    </row>
    <row r="17" spans="1:11" x14ac:dyDescent="0.2">
      <c r="A17" s="1" t="s">
        <v>75</v>
      </c>
    </row>
    <row r="19" spans="1:11" x14ac:dyDescent="0.2">
      <c r="A19" s="11" t="s">
        <v>76</v>
      </c>
    </row>
    <row r="21" spans="1:11" x14ac:dyDescent="0.2">
      <c r="A21" s="1" t="s">
        <v>64</v>
      </c>
      <c r="B21" s="1" t="s">
        <v>65</v>
      </c>
      <c r="C21" s="1" t="s">
        <v>77</v>
      </c>
      <c r="D21" s="1" t="s">
        <v>78</v>
      </c>
      <c r="E21" s="1" t="s">
        <v>79</v>
      </c>
      <c r="F21" s="1" t="s">
        <v>80</v>
      </c>
    </row>
    <row r="22" spans="1:11" x14ac:dyDescent="0.2">
      <c r="A22" s="1" t="s">
        <v>68</v>
      </c>
      <c r="B22" s="1">
        <v>1500</v>
      </c>
      <c r="C22" s="1">
        <v>40</v>
      </c>
      <c r="D22" s="1">
        <f>Tableau79[[#This Row],[Valeur comptable]]/Tableau79[[#This Row],[Durée de vie]]</f>
        <v>37.5</v>
      </c>
      <c r="E22" s="1">
        <f>Tableau79[[#This Row],[Dotation annuelle]]*5</f>
        <v>187.5</v>
      </c>
      <c r="F22" s="1">
        <f>Tableau79[[#This Row],[Valeur comptable]]-Tableau79[[#This Row],[Dotation N+1-N+5]]</f>
        <v>1312.5</v>
      </c>
    </row>
    <row r="23" spans="1:11" x14ac:dyDescent="0.2">
      <c r="A23" s="1" t="s">
        <v>70</v>
      </c>
      <c r="B23" s="1">
        <v>240</v>
      </c>
      <c r="C23" s="1">
        <v>20</v>
      </c>
      <c r="D23" s="1">
        <f>Tableau79[[#This Row],[Valeur comptable]]/Tableau79[[#This Row],[Durée de vie]]</f>
        <v>12</v>
      </c>
      <c r="E23" s="1">
        <f>Tableau79[[#This Row],[Dotation annuelle]]*5</f>
        <v>60</v>
      </c>
      <c r="F23" s="1">
        <f>Tableau79[[#This Row],[Valeur comptable]]-Tableau79[[#This Row],[Dotation N+1-N+5]]</f>
        <v>180</v>
      </c>
    </row>
    <row r="24" spans="1:11" x14ac:dyDescent="0.2">
      <c r="A24" s="1" t="s">
        <v>69</v>
      </c>
      <c r="B24" s="1">
        <v>150</v>
      </c>
      <c r="C24" s="1">
        <v>10</v>
      </c>
      <c r="D24" s="1">
        <f>Tableau79[[#This Row],[Valeur comptable]]/Tableau79[[#This Row],[Durée de vie]]</f>
        <v>15</v>
      </c>
      <c r="E24" s="1">
        <f>Tableau79[[#This Row],[Dotation annuelle]]*5</f>
        <v>75</v>
      </c>
      <c r="F24" s="1">
        <f>Tableau79[[#This Row],[Valeur comptable]]-Tableau79[[#This Row],[Dotation N+1-N+5]]</f>
        <v>75</v>
      </c>
    </row>
    <row r="25" spans="1:11" x14ac:dyDescent="0.2">
      <c r="A25" s="1" t="s">
        <v>71</v>
      </c>
      <c r="B25" s="1">
        <v>280</v>
      </c>
      <c r="C25" s="1">
        <v>25</v>
      </c>
      <c r="D25" s="1">
        <f>Tableau79[[#This Row],[Valeur comptable]]/Tableau79[[#This Row],[Durée de vie]]</f>
        <v>11.2</v>
      </c>
      <c r="E25" s="1">
        <f>Tableau79[[#This Row],[Dotation annuelle]]*5</f>
        <v>56</v>
      </c>
      <c r="F25" s="1">
        <f>Tableau79[[#This Row],[Valeur comptable]]-Tableau79[[#This Row],[Dotation N+1-N+5]]</f>
        <v>224</v>
      </c>
    </row>
    <row r="26" spans="1:11" x14ac:dyDescent="0.2">
      <c r="A26" s="11" t="s">
        <v>40</v>
      </c>
      <c r="B26" s="11">
        <f>SUM(B22:B25)</f>
        <v>2170</v>
      </c>
      <c r="C26" s="11"/>
      <c r="D26" s="11">
        <f>SUM(D22:D25)</f>
        <v>75.7</v>
      </c>
      <c r="E26" s="11">
        <f>Tableau79[[#This Row],[Dotation annuelle]]*5</f>
        <v>378.5</v>
      </c>
      <c r="F26" s="1">
        <f>Tableau79[[#This Row],[Valeur comptable]]-Tableau79[[#This Row],[Dotation N+1-N+5]]</f>
        <v>1791.5</v>
      </c>
    </row>
    <row r="28" spans="1:11" x14ac:dyDescent="0.2">
      <c r="A28" s="11" t="s">
        <v>81</v>
      </c>
    </row>
    <row r="30" spans="1:11" x14ac:dyDescent="0.2">
      <c r="A30" s="1" t="s">
        <v>64</v>
      </c>
      <c r="B30" s="1" t="s">
        <v>65</v>
      </c>
      <c r="C30" s="1" t="s">
        <v>77</v>
      </c>
      <c r="D30" s="1" t="s">
        <v>78</v>
      </c>
      <c r="E30" s="1" t="s">
        <v>79</v>
      </c>
      <c r="F30" s="1" t="s">
        <v>80</v>
      </c>
      <c r="G30" s="1" t="s">
        <v>82</v>
      </c>
      <c r="H30" s="1" t="s">
        <v>83</v>
      </c>
      <c r="I30" s="1" t="s">
        <v>84</v>
      </c>
      <c r="J30" s="1" t="s">
        <v>85</v>
      </c>
      <c r="K30" s="1" t="s">
        <v>86</v>
      </c>
    </row>
    <row r="31" spans="1:11" x14ac:dyDescent="0.2">
      <c r="A31" s="1" t="s">
        <v>68</v>
      </c>
      <c r="B31" s="1">
        <f>D8</f>
        <v>1382.4884792626729</v>
      </c>
      <c r="C31" s="1">
        <v>40</v>
      </c>
      <c r="D31" s="1">
        <f>Tableau7910[[#This Row],[Valeur comptable]]/Tableau7910[[#This Row],[Durée de vie]]</f>
        <v>34.562211981566819</v>
      </c>
      <c r="E31" s="1">
        <f>Tableau7910[[#This Row],[Dotation annuelle]]*5</f>
        <v>172.81105990783408</v>
      </c>
      <c r="F31" s="1">
        <f>Tableau7910[[#This Row],[Valeur comptable]]-Tableau7910[[#This Row],[Dotation N+1-N+5]]</f>
        <v>1209.6774193548388</v>
      </c>
      <c r="G31" s="1">
        <f t="shared" ref="G31:G35" si="2">C8</f>
        <v>117.51152073732719</v>
      </c>
      <c r="H31" s="12">
        <f>Tableau7910[[#This Row],[VNC fin N+5]]+Tableau7910[[#This Row],[Reprise potentielle]]</f>
        <v>1327.1889400921659</v>
      </c>
      <c r="I31" s="12">
        <f t="shared" ref="I31:I35" si="3">F22</f>
        <v>1312.5</v>
      </c>
      <c r="J31" s="12">
        <f>Tableau7910[[#This Row],[Reprise potentielle]]-(Tableau7910[[#This Row],[VNC après reprise]]-Tableau7910[[#This Row],[Plafond]])</f>
        <v>102.82258064516127</v>
      </c>
      <c r="K31" s="12">
        <f>Tableau7910[[#This Row],[VNC fin N+5]]+Tableau7910[[#This Row],[Reprise plafonnée]]</f>
        <v>1312.5</v>
      </c>
    </row>
    <row r="32" spans="1:11" x14ac:dyDescent="0.2">
      <c r="A32" s="1" t="s">
        <v>70</v>
      </c>
      <c r="B32" s="1">
        <f>D9</f>
        <v>221.19815668202764</v>
      </c>
      <c r="C32" s="1">
        <v>20</v>
      </c>
      <c r="D32" s="1">
        <f>Tableau7910[[#This Row],[Valeur comptable]]/Tableau7910[[#This Row],[Durée de vie]]</f>
        <v>11.059907834101383</v>
      </c>
      <c r="E32" s="1">
        <f>Tableau7910[[#This Row],[Dotation annuelle]]*5</f>
        <v>55.299539170506911</v>
      </c>
      <c r="F32" s="1">
        <f>Tableau7910[[#This Row],[Valeur comptable]]-Tableau7910[[#This Row],[Dotation N+1-N+5]]</f>
        <v>165.89861751152074</v>
      </c>
      <c r="G32" s="1">
        <f t="shared" si="2"/>
        <v>18.801843317972349</v>
      </c>
      <c r="H32" s="12">
        <f>Tableau7910[[#This Row],[VNC fin N+5]]+Tableau7910[[#This Row],[Reprise potentielle]]</f>
        <v>184.7004608294931</v>
      </c>
      <c r="I32" s="12">
        <f t="shared" si="3"/>
        <v>180</v>
      </c>
      <c r="J32" s="12">
        <f>Tableau7910[[#This Row],[Reprise potentielle]]-(Tableau7910[[#This Row],[VNC après reprise]]-Tableau7910[[#This Row],[Plafond]])</f>
        <v>14.101382488479253</v>
      </c>
      <c r="K32" s="12">
        <f>Tableau7910[[#This Row],[VNC fin N+5]]+Tableau7910[[#This Row],[Reprise plafonnée]]</f>
        <v>180</v>
      </c>
    </row>
    <row r="33" spans="1:11" x14ac:dyDescent="0.2">
      <c r="A33" s="1" t="s">
        <v>69</v>
      </c>
      <c r="B33" s="1">
        <f t="shared" ref="B33:B34" si="4">D10</f>
        <v>138.24884792626727</v>
      </c>
      <c r="C33" s="1">
        <v>10</v>
      </c>
      <c r="D33" s="1">
        <f>Tableau7910[[#This Row],[Valeur comptable]]/Tableau7910[[#This Row],[Durée de vie]]</f>
        <v>13.824884792626728</v>
      </c>
      <c r="E33" s="1">
        <f>Tableau7910[[#This Row],[Dotation annuelle]]*5</f>
        <v>69.124423963133637</v>
      </c>
      <c r="F33" s="1">
        <f>Tableau7910[[#This Row],[Valeur comptable]]-Tableau7910[[#This Row],[Dotation N+1-N+5]]</f>
        <v>69.124423963133637</v>
      </c>
      <c r="G33" s="1">
        <f t="shared" si="2"/>
        <v>11.751152073732719</v>
      </c>
      <c r="H33" s="12">
        <f>Tableau7910[[#This Row],[VNC fin N+5]]+Tableau7910[[#This Row],[Reprise potentielle]]</f>
        <v>80.875576036866363</v>
      </c>
      <c r="I33" s="12">
        <f t="shared" si="3"/>
        <v>75</v>
      </c>
      <c r="J33" s="12">
        <f>Tableau7910[[#This Row],[Reprise potentielle]]-(Tableau7910[[#This Row],[VNC après reprise]]-Tableau7910[[#This Row],[Plafond]])</f>
        <v>5.8755760368663559</v>
      </c>
      <c r="K33" s="12">
        <f>Tableau7910[[#This Row],[VNC fin N+5]]+Tableau7910[[#This Row],[Reprise plafonnée]]</f>
        <v>75</v>
      </c>
    </row>
    <row r="34" spans="1:11" x14ac:dyDescent="0.2">
      <c r="A34" s="1" t="s">
        <v>71</v>
      </c>
      <c r="B34" s="1">
        <f t="shared" si="4"/>
        <v>258.06451612903226</v>
      </c>
      <c r="C34" s="1">
        <v>25</v>
      </c>
      <c r="D34" s="1">
        <f>Tableau7910[[#This Row],[Valeur comptable]]/Tableau7910[[#This Row],[Durée de vie]]</f>
        <v>10.32258064516129</v>
      </c>
      <c r="E34" s="1">
        <f>Tableau7910[[#This Row],[Dotation annuelle]]*5</f>
        <v>51.612903225806448</v>
      </c>
      <c r="F34" s="1">
        <f>Tableau7910[[#This Row],[Valeur comptable]]-Tableau7910[[#This Row],[Dotation N+1-N+5]]</f>
        <v>206.45161290322579</v>
      </c>
      <c r="G34" s="1">
        <f t="shared" si="2"/>
        <v>21.93548387096774</v>
      </c>
      <c r="H34" s="12">
        <f>Tableau7910[[#This Row],[VNC fin N+5]]+Tableau7910[[#This Row],[Reprise potentielle]]</f>
        <v>228.38709677419354</v>
      </c>
      <c r="I34" s="12">
        <f t="shared" si="3"/>
        <v>224</v>
      </c>
      <c r="J34" s="12">
        <f>Tableau7910[[#This Row],[Reprise potentielle]]-(Tableau7910[[#This Row],[VNC après reprise]]-Tableau7910[[#This Row],[Plafond]])</f>
        <v>17.548387096774203</v>
      </c>
      <c r="K34" s="12">
        <f>Tableau7910[[#This Row],[VNC fin N+5]]+Tableau7910[[#This Row],[Reprise plafonnée]]</f>
        <v>224</v>
      </c>
    </row>
    <row r="35" spans="1:11" x14ac:dyDescent="0.2">
      <c r="A35" s="11" t="s">
        <v>40</v>
      </c>
      <c r="B35" s="11">
        <f>SUM(B31:B34)</f>
        <v>2000</v>
      </c>
      <c r="C35" s="11"/>
      <c r="D35" s="11">
        <f>SUM(D31:D34)</f>
        <v>69.769585253456214</v>
      </c>
      <c r="E35" s="11">
        <f>Tableau7910[[#This Row],[Dotation annuelle]]*5</f>
        <v>348.84792626728108</v>
      </c>
      <c r="F35" s="1">
        <f>Tableau7910[[#This Row],[Valeur comptable]]-Tableau7910[[#This Row],[Dotation N+1-N+5]]</f>
        <v>1651.1520737327189</v>
      </c>
      <c r="G35" s="1">
        <f t="shared" si="2"/>
        <v>470</v>
      </c>
      <c r="H35" s="12">
        <f>Tableau7910[[#This Row],[VNC fin N+5]]+Tableau7910[[#This Row],[Reprise potentielle]]</f>
        <v>2121.1520737327191</v>
      </c>
      <c r="I35" s="12">
        <f t="shared" si="3"/>
        <v>1791.5</v>
      </c>
      <c r="J35" s="12">
        <f>Tableau7910[[#This Row],[Reprise potentielle]]-(Tableau7910[[#This Row],[VNC après reprise]]-Tableau7910[[#This Row],[Plafond]])</f>
        <v>140.34792626728085</v>
      </c>
      <c r="K35" s="12">
        <f>Tableau7910[[#This Row],[VNC fin N+5]]+Tableau7910[[#This Row],[Reprise plafonnée]]</f>
        <v>1791.4999999999998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1-Dépréciation</vt:lpstr>
      <vt:lpstr>2-Dépréciation</vt:lpstr>
      <vt:lpstr>3-Démantèlement</vt:lpstr>
      <vt:lpstr>4-Dépréciation UGT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Lefrancq</dc:creator>
  <cp:lastModifiedBy>Stéphane Lefrancq</cp:lastModifiedBy>
  <dcterms:created xsi:type="dcterms:W3CDTF">2024-10-11T09:24:01Z</dcterms:created>
  <dcterms:modified xsi:type="dcterms:W3CDTF">2024-10-11T15:14:13Z</dcterms:modified>
</cp:coreProperties>
</file>