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erome/Desktop/données/IAE Paris/Cours AnaFi : CGAO/FC/Polys 2025-2026/Ana FI/Cas OPmobility (A)/"/>
    </mc:Choice>
  </mc:AlternateContent>
  <xr:revisionPtr revIDLastSave="0" documentId="13_ncr:1_{FD055309-9DAB-934F-B59F-E1BA60BF195F}" xr6:coauthVersionLast="47" xr6:coauthVersionMax="47" xr10:uidLastSave="{00000000-0000-0000-0000-000000000000}"/>
  <bookViews>
    <workbookView xWindow="0" yWindow="760" windowWidth="29400" windowHeight="17000" tabRatio="500" xr2:uid="{00000000-000D-0000-FFFF-FFFF00000000}"/>
  </bookViews>
  <sheets>
    <sheet name="Compte de résultat" sheetId="1" r:id="rId1"/>
    <sheet name="Bilan" sheetId="2" r:id="rId2"/>
    <sheet name="BFR" sheetId="4" r:id="rId3"/>
    <sheet name="Ratios" sheetId="3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1" i="4" l="1"/>
  <c r="D39" i="3"/>
  <c r="C39" i="3"/>
  <c r="B39" i="3"/>
  <c r="D26" i="3"/>
  <c r="C26" i="3"/>
  <c r="B26" i="3"/>
  <c r="F29" i="3"/>
  <c r="E29" i="3"/>
  <c r="D40" i="3"/>
  <c r="C40" i="3"/>
  <c r="B40" i="3"/>
  <c r="D38" i="3"/>
  <c r="C38" i="3"/>
  <c r="B38" i="3"/>
  <c r="D37" i="3"/>
  <c r="C37" i="3"/>
  <c r="B37" i="3"/>
  <c r="D36" i="3"/>
  <c r="C36" i="3"/>
  <c r="B36" i="3"/>
  <c r="D35" i="3"/>
  <c r="C35" i="3"/>
  <c r="B35" i="3"/>
  <c r="B33" i="2"/>
  <c r="C33" i="2"/>
  <c r="D33" i="2"/>
  <c r="D27" i="2"/>
  <c r="C27" i="2"/>
  <c r="B27" i="2"/>
  <c r="D23" i="2"/>
  <c r="C23" i="2"/>
  <c r="B23" i="2"/>
  <c r="B15" i="4"/>
  <c r="E22" i="1"/>
  <c r="E21" i="1"/>
  <c r="E20" i="1"/>
  <c r="E18" i="1"/>
  <c r="E16" i="1"/>
  <c r="E14" i="1"/>
  <c r="E11" i="1"/>
  <c r="E8" i="1"/>
  <c r="E7" i="1"/>
  <c r="E5" i="1"/>
  <c r="D13" i="1"/>
  <c r="C13" i="1"/>
  <c r="B13" i="1"/>
  <c r="C21" i="3"/>
  <c r="B21" i="3"/>
  <c r="D15" i="3"/>
  <c r="C15" i="3"/>
  <c r="B15" i="3"/>
  <c r="D12" i="3"/>
  <c r="C12" i="3"/>
  <c r="B12" i="3"/>
  <c r="D11" i="3"/>
  <c r="C11" i="3"/>
  <c r="B11" i="3"/>
  <c r="D10" i="3"/>
  <c r="C10" i="3"/>
  <c r="B10" i="3"/>
  <c r="D14" i="3"/>
  <c r="C14" i="3"/>
  <c r="B14" i="3"/>
  <c r="D11" i="2"/>
  <c r="D17" i="2"/>
  <c r="C11" i="2"/>
  <c r="C17" i="2"/>
  <c r="B11" i="2"/>
  <c r="D32" i="3"/>
  <c r="C32" i="3"/>
  <c r="D31" i="3"/>
  <c r="C31" i="3"/>
  <c r="D30" i="3"/>
  <c r="C30" i="3"/>
  <c r="B30" i="3"/>
  <c r="D24" i="2"/>
  <c r="D28" i="2"/>
  <c r="C24" i="2"/>
  <c r="B24" i="2"/>
  <c r="B28" i="2"/>
  <c r="D8" i="1"/>
  <c r="D8" i="3"/>
  <c r="C8" i="1"/>
  <c r="C8" i="3"/>
  <c r="B8" i="1"/>
  <c r="B8" i="3"/>
  <c r="C9" i="4"/>
  <c r="C8" i="4"/>
  <c r="C7" i="4"/>
  <c r="C15" i="4"/>
  <c r="C14" i="4"/>
  <c r="C16" i="4"/>
  <c r="D7" i="4"/>
  <c r="D8" i="4"/>
  <c r="D9" i="4"/>
  <c r="D14" i="4"/>
  <c r="D15" i="4"/>
  <c r="D16" i="4"/>
  <c r="B7" i="4"/>
  <c r="B8" i="4"/>
  <c r="B9" i="4"/>
  <c r="B14" i="4"/>
  <c r="B32" i="3"/>
  <c r="B31" i="3"/>
  <c r="D9" i="3"/>
  <c r="C9" i="3"/>
  <c r="B9" i="3"/>
  <c r="D13" i="3"/>
  <c r="C13" i="3"/>
  <c r="B13" i="3"/>
  <c r="D5" i="3"/>
  <c r="C5" i="3"/>
  <c r="D21" i="3"/>
  <c r="D34" i="2"/>
  <c r="B34" i="2"/>
  <c r="B16" i="4"/>
  <c r="D10" i="4"/>
  <c r="D18" i="4"/>
  <c r="D29" i="3"/>
  <c r="B25" i="3"/>
  <c r="B10" i="4"/>
  <c r="C10" i="4"/>
  <c r="C18" i="4"/>
  <c r="C21" i="4"/>
  <c r="B17" i="2"/>
  <c r="B20" i="3"/>
  <c r="C22" i="3"/>
  <c r="C20" i="3"/>
  <c r="D22" i="3"/>
  <c r="D20" i="3"/>
  <c r="D25" i="3"/>
  <c r="C25" i="3"/>
  <c r="C28" i="2"/>
  <c r="C34" i="2"/>
  <c r="D21" i="4"/>
  <c r="B18" i="4"/>
  <c r="B18" i="3"/>
  <c r="C29" i="3"/>
  <c r="B29" i="3"/>
  <c r="B22" i="3"/>
  <c r="C19" i="3"/>
  <c r="C18" i="3"/>
  <c r="C22" i="4"/>
  <c r="B19" i="3"/>
  <c r="B22" i="4"/>
  <c r="D19" i="3"/>
  <c r="D18" i="3"/>
  <c r="D22" i="4"/>
</calcChain>
</file>

<file path=xl/sharedStrings.xml><?xml version="1.0" encoding="utf-8"?>
<sst xmlns="http://schemas.openxmlformats.org/spreadsheetml/2006/main" count="104" uniqueCount="89">
  <si>
    <t>[€ millions]</t>
  </si>
  <si>
    <t>Total current assets</t>
  </si>
  <si>
    <t>-</t>
  </si>
  <si>
    <t>ROI (EBIT)</t>
  </si>
  <si>
    <t>ROI (EBITDA)</t>
  </si>
  <si>
    <t>ROA</t>
  </si>
  <si>
    <t>ROE</t>
  </si>
  <si>
    <t>BFR</t>
  </si>
  <si>
    <t>Actif</t>
  </si>
  <si>
    <t>Actif circulant</t>
  </si>
  <si>
    <t xml:space="preserve">Passif </t>
  </si>
  <si>
    <t>Passif circulant</t>
  </si>
  <si>
    <t>Compte de résultat (Entrer les données dans les cellules orange)</t>
  </si>
  <si>
    <t>Chiffre d'affaires</t>
  </si>
  <si>
    <t>Amortissements et provisions</t>
  </si>
  <si>
    <t>Résultat net</t>
  </si>
  <si>
    <t xml:space="preserve">Frais de personnel </t>
  </si>
  <si>
    <t>Frais de R&amp;D</t>
  </si>
  <si>
    <t>Total Actif</t>
  </si>
  <si>
    <t>Capitaux propres</t>
  </si>
  <si>
    <t xml:space="preserve">Actif circulant </t>
  </si>
  <si>
    <t>Trésorerie et équivalent</t>
  </si>
  <si>
    <t>Clients</t>
  </si>
  <si>
    <t>Autres actifs d'exploitation</t>
  </si>
  <si>
    <t>Stocks</t>
  </si>
  <si>
    <t>Total Actif circulant</t>
  </si>
  <si>
    <t>Immobilisations corporelles</t>
  </si>
  <si>
    <t>Immobilisations financières</t>
  </si>
  <si>
    <t>Autres immobilisations</t>
  </si>
  <si>
    <t>Passif</t>
  </si>
  <si>
    <t>Fournisseurs</t>
  </si>
  <si>
    <t>Autres dettes d'exploitation</t>
  </si>
  <si>
    <t>Total passif circulant</t>
  </si>
  <si>
    <t>Dettes financières LT</t>
  </si>
  <si>
    <t>Capitaux propres part du groupe</t>
  </si>
  <si>
    <t>Intérêts minoritaires</t>
  </si>
  <si>
    <t>Total Passif</t>
  </si>
  <si>
    <t xml:space="preserve">Total </t>
  </si>
  <si>
    <t>Coûts des ventes</t>
  </si>
  <si>
    <t>Marge brute</t>
  </si>
  <si>
    <t>Bilan (Entrer les données dans les cellules orange)</t>
  </si>
  <si>
    <t>Coût de l'endettement net</t>
  </si>
  <si>
    <t>Dépenses d'exploitation</t>
  </si>
  <si>
    <t>Résultat net part du groupe</t>
  </si>
  <si>
    <t>EBITDA</t>
  </si>
  <si>
    <t>EBIT</t>
  </si>
  <si>
    <t>Capitaux investis sans trésorerie</t>
  </si>
  <si>
    <t>Capitaux investis avec trésorerie</t>
  </si>
  <si>
    <t>Croissance</t>
  </si>
  <si>
    <t>Δ Chiffre d'affaires</t>
  </si>
  <si>
    <t>Ratios de marge</t>
  </si>
  <si>
    <t>Frais de personnel / CA</t>
  </si>
  <si>
    <t>Marge Brute / CA</t>
  </si>
  <si>
    <t>Coût des ventes / CA</t>
  </si>
  <si>
    <t>Frais de R&amp;D / CA</t>
  </si>
  <si>
    <t>EBITDA / CA</t>
  </si>
  <si>
    <t>EBIT / CA</t>
  </si>
  <si>
    <t>Marge nette</t>
  </si>
  <si>
    <t>Taux de rotation de l'actif</t>
  </si>
  <si>
    <t>Ratios de rentabilité</t>
  </si>
  <si>
    <t>Ratios de liquidité</t>
  </si>
  <si>
    <t>Ratios de rotation</t>
  </si>
  <si>
    <t>Ratios d'endettement</t>
  </si>
  <si>
    <t>Dettes financières nettes / EBITDA (années)</t>
  </si>
  <si>
    <t xml:space="preserve">Dettes financières / CP </t>
  </si>
  <si>
    <t>Dettes financières nettes / CP</t>
  </si>
  <si>
    <t>Taux d'intérêt apparent</t>
  </si>
  <si>
    <t>Rotation du BFR (365 jours)</t>
  </si>
  <si>
    <t>Rotation des stocks  (365 jours)</t>
  </si>
  <si>
    <t>Rotation clients  (365 jours)</t>
  </si>
  <si>
    <t>Rotation fournisseurs  (365 jours)</t>
  </si>
  <si>
    <t>Liquidité générale</t>
  </si>
  <si>
    <t>Liquidité réduite</t>
  </si>
  <si>
    <t>Change</t>
  </si>
  <si>
    <t>2021/2023</t>
  </si>
  <si>
    <t>Immobilisations incorporelles / goodwill</t>
  </si>
  <si>
    <t>Dettes financières CT</t>
  </si>
  <si>
    <t>Autres passifs LT</t>
  </si>
  <si>
    <t>Taux d'endettement brut</t>
  </si>
  <si>
    <t>ElringKlinger</t>
  </si>
  <si>
    <t>Magna Int</t>
  </si>
  <si>
    <t>Valéo</t>
  </si>
  <si>
    <t>Forvia</t>
  </si>
  <si>
    <t>Cie Autom</t>
  </si>
  <si>
    <t>Concurrents</t>
  </si>
  <si>
    <t>OPmobility</t>
  </si>
  <si>
    <t>Coût de l'endettement / CA</t>
  </si>
  <si>
    <t>Ratios (Entrer les données dans les cellules orange)</t>
  </si>
  <si>
    <t xml:space="preserve">Ration de couverture des frais financiers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</si>
</sst>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)\ _€_ ;_ * \(#,##0.00\)\ _€_ ;_ * &quot;-&quot;??_)\ _€_ ;_ @_ "/>
    <numFmt numFmtId="165" formatCode="_(* #,##0.0_);_(* \(#,##0.0\);_(* &quot;-&quot;??_);_(@_)"/>
    <numFmt numFmtId="166" formatCode="_-* #,##0_-;\(#,##0\)_-;_-* &quot;-&quot;_-;_-@_-"/>
    <numFmt numFmtId="167" formatCode="0.00\x"/>
    <numFmt numFmtId="168" formatCode="_(* #,##0_);_(* \(#,##0\);_(* &quot;-&quot;??_);_(@_)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b/>
      <sz val="10"/>
      <color theme="0"/>
      <name val="Open Sans"/>
      <family val="2"/>
    </font>
    <font>
      <sz val="10"/>
      <color theme="0"/>
      <name val="Open Sans"/>
      <family val="2"/>
    </font>
    <font>
      <b/>
      <sz val="14"/>
      <color theme="0"/>
      <name val="Open Sans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rgb="FF0000FF"/>
      <name val="Open Sans"/>
      <family val="2"/>
    </font>
    <font>
      <b/>
      <sz val="10"/>
      <name val="Open Sans"/>
      <family val="2"/>
    </font>
    <font>
      <sz val="12"/>
      <color theme="4" tint="-0.499984740745262"/>
      <name val="Calibri"/>
      <family val="2"/>
      <scheme val="minor"/>
    </font>
    <font>
      <sz val="10"/>
      <color theme="3"/>
      <name val="Open Sans"/>
      <family val="2"/>
    </font>
    <font>
      <sz val="10"/>
      <color theme="4" tint="-0.499984740745262"/>
      <name val="Open Sans"/>
    </font>
    <font>
      <b/>
      <sz val="10"/>
      <color theme="4" tint="-0.499984740745262"/>
      <name val="Open Sans"/>
    </font>
    <font>
      <sz val="10"/>
      <color rgb="FF1F497D"/>
      <name val="Open Sans"/>
      <family val="2"/>
      <charset val="1"/>
    </font>
    <font>
      <b/>
      <sz val="10"/>
      <color theme="0"/>
      <name val="Open Sans"/>
    </font>
    <font>
      <sz val="10"/>
      <color theme="4" tint="-0.499984740745262"/>
      <name val="Open Sans"/>
      <family val="2"/>
    </font>
    <font>
      <b/>
      <sz val="10"/>
      <color theme="4" tint="-0.499984740745262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rgb="FF00000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95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5" fillId="2" borderId="0" xfId="0" applyFont="1" applyFill="1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4" xfId="0" applyFont="1" applyBorder="1"/>
    <xf numFmtId="0" fontId="3" fillId="0" borderId="5" xfId="0" applyFont="1" applyBorder="1"/>
    <xf numFmtId="0" fontId="2" fillId="0" borderId="5" xfId="0" applyFont="1" applyBorder="1"/>
    <xf numFmtId="0" fontId="2" fillId="0" borderId="5" xfId="0" applyFont="1" applyBorder="1" applyAlignment="1">
      <alignment wrapText="1"/>
    </xf>
    <xf numFmtId="0" fontId="3" fillId="0" borderId="4" xfId="0" applyFont="1" applyBorder="1" applyAlignment="1">
      <alignment wrapText="1"/>
    </xf>
    <xf numFmtId="166" fontId="3" fillId="0" borderId="9" xfId="1" applyNumberFormat="1" applyFont="1" applyBorder="1"/>
    <xf numFmtId="166" fontId="2" fillId="0" borderId="10" xfId="1" applyNumberFormat="1" applyFont="1" applyBorder="1"/>
    <xf numFmtId="166" fontId="2" fillId="0" borderId="10" xfId="1" applyNumberFormat="1" applyFont="1" applyBorder="1" applyAlignment="1">
      <alignment horizontal="left" indent="2"/>
    </xf>
    <xf numFmtId="166" fontId="2" fillId="0" borderId="11" xfId="1" applyNumberFormat="1" applyFont="1" applyBorder="1" applyAlignment="1">
      <alignment horizontal="left" indent="2"/>
    </xf>
    <xf numFmtId="166" fontId="2" fillId="0" borderId="10" xfId="1" applyNumberFormat="1" applyFont="1" applyBorder="1" applyAlignment="1">
      <alignment horizontal="left" indent="1"/>
    </xf>
    <xf numFmtId="166" fontId="3" fillId="0" borderId="12" xfId="1" applyNumberFormat="1" applyFont="1" applyBorder="1"/>
    <xf numFmtId="166" fontId="3" fillId="0" borderId="10" xfId="1" applyNumberFormat="1" applyFont="1" applyBorder="1"/>
    <xf numFmtId="166" fontId="2" fillId="0" borderId="9" xfId="1" applyNumberFormat="1" applyFont="1" applyBorder="1" applyAlignment="1">
      <alignment horizontal="left" indent="2"/>
    </xf>
    <xf numFmtId="166" fontId="3" fillId="0" borderId="13" xfId="1" applyNumberFormat="1" applyFont="1" applyBorder="1"/>
    <xf numFmtId="0" fontId="5" fillId="2" borderId="0" xfId="0" applyFont="1" applyFill="1" applyAlignment="1">
      <alignment horizontal="center"/>
    </xf>
    <xf numFmtId="166" fontId="9" fillId="0" borderId="4" xfId="1" applyNumberFormat="1" applyFont="1" applyBorder="1" applyAlignment="1">
      <alignment horizontal="center"/>
    </xf>
    <xf numFmtId="166" fontId="9" fillId="0" borderId="7" xfId="1" applyNumberFormat="1" applyFont="1" applyBorder="1" applyAlignment="1">
      <alignment horizontal="center"/>
    </xf>
    <xf numFmtId="166" fontId="9" fillId="0" borderId="5" xfId="1" applyNumberFormat="1" applyFont="1" applyBorder="1" applyAlignment="1">
      <alignment horizontal="center"/>
    </xf>
    <xf numFmtId="166" fontId="9" fillId="0" borderId="0" xfId="1" applyNumberFormat="1" applyFont="1" applyBorder="1" applyAlignment="1">
      <alignment horizontal="center"/>
    </xf>
    <xf numFmtId="166" fontId="10" fillId="0" borderId="1" xfId="1" applyNumberFormat="1" applyFont="1" applyBorder="1" applyAlignment="1">
      <alignment horizontal="center"/>
    </xf>
    <xf numFmtId="166" fontId="10" fillId="0" borderId="8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/>
    <xf numFmtId="166" fontId="3" fillId="0" borderId="4" xfId="1" applyNumberFormat="1" applyFont="1" applyBorder="1"/>
    <xf numFmtId="0" fontId="2" fillId="0" borderId="14" xfId="0" applyFont="1" applyBorder="1"/>
    <xf numFmtId="166" fontId="2" fillId="0" borderId="10" xfId="1" applyNumberFormat="1" applyFont="1" applyFill="1" applyBorder="1" applyAlignment="1">
      <alignment horizontal="left" indent="1"/>
    </xf>
    <xf numFmtId="0" fontId="5" fillId="2" borderId="3" xfId="0" applyFont="1" applyFill="1" applyBorder="1"/>
    <xf numFmtId="0" fontId="4" fillId="2" borderId="0" xfId="0" applyFont="1" applyFill="1" applyAlignment="1">
      <alignment horizontal="centerContinuous"/>
    </xf>
    <xf numFmtId="0" fontId="4" fillId="2" borderId="3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"/>
    </xf>
    <xf numFmtId="0" fontId="2" fillId="0" borderId="0" xfId="0" applyFont="1"/>
    <xf numFmtId="9" fontId="11" fillId="3" borderId="4" xfId="294" applyFont="1" applyFill="1" applyBorder="1"/>
    <xf numFmtId="0" fontId="11" fillId="0" borderId="5" xfId="0" applyFont="1" applyBorder="1"/>
    <xf numFmtId="9" fontId="11" fillId="3" borderId="14" xfId="294" applyFont="1" applyFill="1" applyBorder="1"/>
    <xf numFmtId="9" fontId="11" fillId="3" borderId="5" xfId="294" applyFont="1" applyFill="1" applyBorder="1"/>
    <xf numFmtId="9" fontId="11" fillId="3" borderId="1" xfId="294" applyFont="1" applyFill="1" applyBorder="1"/>
    <xf numFmtId="166" fontId="2" fillId="0" borderId="10" xfId="1" applyNumberFormat="1" applyFont="1" applyBorder="1" applyAlignment="1"/>
    <xf numFmtId="166" fontId="13" fillId="3" borderId="5" xfId="1" applyNumberFormat="1" applyFont="1" applyFill="1" applyBorder="1" applyAlignment="1">
      <alignment horizontal="center"/>
    </xf>
    <xf numFmtId="166" fontId="13" fillId="3" borderId="0" xfId="1" applyNumberFormat="1" applyFont="1" applyFill="1" applyBorder="1" applyAlignment="1">
      <alignment horizontal="center"/>
    </xf>
    <xf numFmtId="166" fontId="14" fillId="0" borderId="1" xfId="1" applyNumberFormat="1" applyFont="1" applyFill="1" applyBorder="1" applyAlignment="1">
      <alignment horizontal="center"/>
    </xf>
    <xf numFmtId="166" fontId="2" fillId="0" borderId="11" xfId="1" applyNumberFormat="1" applyFont="1" applyBorder="1" applyAlignment="1">
      <alignment wrapText="1"/>
    </xf>
    <xf numFmtId="0" fontId="15" fillId="4" borderId="3" xfId="0" applyFont="1" applyFill="1" applyBorder="1" applyAlignment="1">
      <alignment horizontal="center"/>
    </xf>
    <xf numFmtId="1" fontId="12" fillId="3" borderId="5" xfId="1" applyNumberFormat="1" applyFont="1" applyFill="1" applyBorder="1" applyAlignment="1">
      <alignment horizontal="center"/>
    </xf>
    <xf numFmtId="1" fontId="15" fillId="4" borderId="3" xfId="0" applyNumberFormat="1" applyFont="1" applyFill="1" applyBorder="1" applyAlignment="1">
      <alignment horizontal="center"/>
    </xf>
    <xf numFmtId="10" fontId="15" fillId="4" borderId="3" xfId="0" applyNumberFormat="1" applyFont="1" applyFill="1" applyBorder="1" applyAlignment="1">
      <alignment horizontal="center"/>
    </xf>
    <xf numFmtId="167" fontId="12" fillId="3" borderId="5" xfId="1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10" fontId="12" fillId="3" borderId="3" xfId="1" applyNumberFormat="1" applyFont="1" applyFill="1" applyBorder="1" applyAlignment="1">
      <alignment horizontal="center"/>
    </xf>
    <xf numFmtId="10" fontId="12" fillId="3" borderId="5" xfId="1" applyNumberFormat="1" applyFont="1" applyFill="1" applyBorder="1" applyAlignment="1">
      <alignment horizontal="center"/>
    </xf>
    <xf numFmtId="168" fontId="17" fillId="0" borderId="5" xfId="1" applyNumberFormat="1" applyFont="1" applyFill="1" applyBorder="1"/>
    <xf numFmtId="168" fontId="13" fillId="3" borderId="10" xfId="0" applyNumberFormat="1" applyFont="1" applyFill="1" applyBorder="1"/>
    <xf numFmtId="168" fontId="13" fillId="3" borderId="11" xfId="0" applyNumberFormat="1" applyFont="1" applyFill="1" applyBorder="1"/>
    <xf numFmtId="168" fontId="13" fillId="3" borderId="5" xfId="1" applyNumberFormat="1" applyFont="1" applyFill="1" applyBorder="1"/>
    <xf numFmtId="168" fontId="13" fillId="3" borderId="7" xfId="1" applyNumberFormat="1" applyFont="1" applyFill="1" applyBorder="1"/>
    <xf numFmtId="165" fontId="18" fillId="0" borderId="5" xfId="1" applyNumberFormat="1" applyFont="1" applyBorder="1"/>
    <xf numFmtId="165" fontId="18" fillId="0" borderId="3" xfId="1" applyNumberFormat="1" applyFont="1" applyBorder="1"/>
    <xf numFmtId="168" fontId="13" fillId="3" borderId="0" xfId="1" applyNumberFormat="1" applyFont="1" applyFill="1" applyBorder="1"/>
    <xf numFmtId="168" fontId="18" fillId="0" borderId="4" xfId="1" applyNumberFormat="1" applyFont="1" applyBorder="1"/>
    <xf numFmtId="168" fontId="18" fillId="0" borderId="2" xfId="1" applyNumberFormat="1" applyFont="1" applyBorder="1"/>
    <xf numFmtId="165" fontId="17" fillId="0" borderId="5" xfId="1" applyNumberFormat="1" applyFont="1" applyBorder="1"/>
    <xf numFmtId="165" fontId="17" fillId="0" borderId="3" xfId="1" applyNumberFormat="1" applyFont="1" applyBorder="1"/>
    <xf numFmtId="165" fontId="17" fillId="0" borderId="5" xfId="1" applyNumberFormat="1" applyFont="1" applyFill="1" applyBorder="1"/>
    <xf numFmtId="165" fontId="17" fillId="0" borderId="3" xfId="1" applyNumberFormat="1" applyFont="1" applyFill="1" applyBorder="1"/>
    <xf numFmtId="168" fontId="14" fillId="3" borderId="4" xfId="1" applyNumberFormat="1" applyFont="1" applyFill="1" applyBorder="1"/>
    <xf numFmtId="168" fontId="14" fillId="3" borderId="7" xfId="1" applyNumberFormat="1" applyFont="1" applyFill="1" applyBorder="1"/>
    <xf numFmtId="168" fontId="14" fillId="3" borderId="1" xfId="1" applyNumberFormat="1" applyFont="1" applyFill="1" applyBorder="1"/>
    <xf numFmtId="168" fontId="14" fillId="3" borderId="8" xfId="1" applyNumberFormat="1" applyFont="1" applyFill="1" applyBorder="1"/>
    <xf numFmtId="0" fontId="17" fillId="0" borderId="9" xfId="0" applyFont="1" applyBorder="1"/>
    <xf numFmtId="0" fontId="17" fillId="0" borderId="4" xfId="0" applyFont="1" applyBorder="1"/>
    <xf numFmtId="166" fontId="17" fillId="3" borderId="5" xfId="1" applyNumberFormat="1" applyFont="1" applyFill="1" applyBorder="1" applyAlignment="1">
      <alignment horizontal="center"/>
    </xf>
    <xf numFmtId="166" fontId="17" fillId="3" borderId="0" xfId="1" applyNumberFormat="1" applyFont="1" applyFill="1" applyBorder="1" applyAlignment="1">
      <alignment horizontal="center"/>
    </xf>
    <xf numFmtId="166" fontId="17" fillId="3" borderId="14" xfId="1" applyNumberFormat="1" applyFont="1" applyFill="1" applyBorder="1" applyAlignment="1">
      <alignment horizontal="center"/>
    </xf>
    <xf numFmtId="166" fontId="17" fillId="3" borderId="6" xfId="1" applyNumberFormat="1" applyFont="1" applyFill="1" applyBorder="1" applyAlignment="1">
      <alignment horizontal="center"/>
    </xf>
    <xf numFmtId="166" fontId="17" fillId="0" borderId="5" xfId="1" applyNumberFormat="1" applyFont="1" applyBorder="1" applyAlignment="1">
      <alignment horizontal="center"/>
    </xf>
    <xf numFmtId="166" fontId="17" fillId="0" borderId="0" xfId="1" applyNumberFormat="1" applyFont="1" applyBorder="1" applyAlignment="1">
      <alignment horizontal="center"/>
    </xf>
    <xf numFmtId="166" fontId="18" fillId="0" borderId="15" xfId="1" applyNumberFormat="1" applyFont="1" applyBorder="1" applyAlignment="1">
      <alignment horizontal="center"/>
    </xf>
    <xf numFmtId="166" fontId="18" fillId="0" borderId="5" xfId="1" applyNumberFormat="1" applyFont="1" applyBorder="1" applyAlignment="1">
      <alignment horizontal="center"/>
    </xf>
    <xf numFmtId="166" fontId="18" fillId="0" borderId="0" xfId="1" applyNumberFormat="1" applyFont="1" applyBorder="1" applyAlignment="1">
      <alignment horizontal="center"/>
    </xf>
    <xf numFmtId="166" fontId="17" fillId="0" borderId="4" xfId="1" applyNumberFormat="1" applyFont="1" applyBorder="1" applyAlignment="1">
      <alignment horizontal="center"/>
    </xf>
    <xf numFmtId="166" fontId="17" fillId="0" borderId="7" xfId="1" applyNumberFormat="1" applyFont="1" applyBorder="1" applyAlignment="1">
      <alignment horizontal="center"/>
    </xf>
    <xf numFmtId="166" fontId="18" fillId="0" borderId="4" xfId="1" applyNumberFormat="1" applyFont="1" applyBorder="1" applyAlignment="1">
      <alignment horizontal="center"/>
    </xf>
    <xf numFmtId="166" fontId="18" fillId="0" borderId="7" xfId="1" applyNumberFormat="1" applyFont="1" applyBorder="1" applyAlignment="1">
      <alignment horizontal="center"/>
    </xf>
    <xf numFmtId="166" fontId="18" fillId="0" borderId="1" xfId="1" applyNumberFormat="1" applyFont="1" applyBorder="1" applyAlignment="1">
      <alignment horizontal="center"/>
    </xf>
    <xf numFmtId="0" fontId="11" fillId="0" borderId="0" xfId="0" applyFont="1"/>
    <xf numFmtId="166" fontId="18" fillId="0" borderId="1" xfId="0" applyNumberFormat="1" applyFont="1" applyBorder="1"/>
    <xf numFmtId="10" fontId="17" fillId="0" borderId="0" xfId="1" applyNumberFormat="1" applyFont="1" applyBorder="1" applyAlignment="1">
      <alignment horizontal="center"/>
    </xf>
    <xf numFmtId="10" fontId="17" fillId="0" borderId="5" xfId="1" applyNumberFormat="1" applyFont="1" applyBorder="1" applyAlignment="1">
      <alignment horizontal="center"/>
    </xf>
    <xf numFmtId="10" fontId="17" fillId="0" borderId="10" xfId="1" applyNumberFormat="1" applyFont="1" applyBorder="1" applyAlignment="1">
      <alignment horizontal="center"/>
    </xf>
    <xf numFmtId="167" fontId="17" fillId="0" borderId="5" xfId="1" applyNumberFormat="1" applyFont="1" applyBorder="1" applyAlignment="1">
      <alignment horizontal="center"/>
    </xf>
    <xf numFmtId="0" fontId="11" fillId="0" borderId="14" xfId="0" applyFont="1" applyBorder="1"/>
    <xf numFmtId="2" fontId="17" fillId="0" borderId="5" xfId="1" applyNumberFormat="1" applyFont="1" applyBorder="1" applyAlignment="1">
      <alignment horizontal="center"/>
    </xf>
    <xf numFmtId="2" fontId="17" fillId="0" borderId="14" xfId="1" applyNumberFormat="1" applyFont="1" applyBorder="1" applyAlignment="1">
      <alignment horizontal="center"/>
    </xf>
    <xf numFmtId="166" fontId="2" fillId="0" borderId="10" xfId="1" applyNumberFormat="1" applyFont="1" applyBorder="1" applyAlignment="1">
      <alignment wrapText="1"/>
    </xf>
    <xf numFmtId="166" fontId="0" fillId="0" borderId="0" xfId="0" applyNumberFormat="1"/>
  </cellXfs>
  <cellStyles count="295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" xfId="82" builtinId="8" hidden="1"/>
    <cellStyle name="Lien hypertexte" xfId="84" builtinId="8" hidden="1"/>
    <cellStyle name="Lien hypertexte" xfId="86" builtinId="8" hidden="1"/>
    <cellStyle name="Lien hypertexte" xfId="88" builtinId="8" hidden="1"/>
    <cellStyle name="Lien hypertexte" xfId="90" builtinId="8" hidden="1"/>
    <cellStyle name="Lien hypertexte" xfId="92" builtinId="8" hidden="1"/>
    <cellStyle name="Lien hypertexte" xfId="94" builtinId="8" hidden="1"/>
    <cellStyle name="Lien hypertexte" xfId="96" builtinId="8" hidden="1"/>
    <cellStyle name="Lien hypertexte" xfId="98" builtinId="8" hidden="1"/>
    <cellStyle name="Lien hypertexte" xfId="100" builtinId="8" hidden="1"/>
    <cellStyle name="Lien hypertexte" xfId="102" builtinId="8" hidden="1"/>
    <cellStyle name="Lien hypertexte" xfId="104" builtinId="8" hidden="1"/>
    <cellStyle name="Lien hypertexte" xfId="106" builtinId="8" hidden="1"/>
    <cellStyle name="Lien hypertexte" xfId="108" builtinId="8" hidden="1"/>
    <cellStyle name="Lien hypertexte" xfId="110" builtinId="8" hidden="1"/>
    <cellStyle name="Lien hypertexte" xfId="112" builtinId="8" hidden="1"/>
    <cellStyle name="Lien hypertexte" xfId="114" builtinId="8" hidden="1"/>
    <cellStyle name="Lien hypertexte" xfId="116" builtinId="8" hidden="1"/>
    <cellStyle name="Lien hypertexte" xfId="118" builtinId="8" hidden="1"/>
    <cellStyle name="Lien hypertexte" xfId="120" builtinId="8" hidden="1"/>
    <cellStyle name="Lien hypertexte" xfId="122" builtinId="8" hidden="1"/>
    <cellStyle name="Lien hypertexte" xfId="124" builtinId="8" hidden="1"/>
    <cellStyle name="Lien hypertexte" xfId="126" builtinId="8" hidden="1"/>
    <cellStyle name="Lien hypertexte" xfId="128" builtinId="8" hidden="1"/>
    <cellStyle name="Lien hypertexte" xfId="130" builtinId="8" hidden="1"/>
    <cellStyle name="Lien hypertexte" xfId="132" builtinId="8" hidden="1"/>
    <cellStyle name="Lien hypertexte" xfId="134" builtinId="8" hidden="1"/>
    <cellStyle name="Lien hypertexte" xfId="136" builtinId="8" hidden="1"/>
    <cellStyle name="Lien hypertexte" xfId="138" builtinId="8" hidden="1"/>
    <cellStyle name="Lien hypertexte" xfId="140" builtinId="8" hidden="1"/>
    <cellStyle name="Lien hypertexte" xfId="142" builtinId="8" hidden="1"/>
    <cellStyle name="Lien hypertexte" xfId="144" builtinId="8" hidden="1"/>
    <cellStyle name="Lien hypertexte" xfId="146" builtinId="8" hidden="1"/>
    <cellStyle name="Lien hypertexte" xfId="148" builtinId="8" hidden="1"/>
    <cellStyle name="Lien hypertexte" xfId="150" builtinId="8" hidden="1"/>
    <cellStyle name="Lien hypertexte" xfId="152" builtinId="8" hidden="1"/>
    <cellStyle name="Lien hypertexte" xfId="154" builtinId="8" hidden="1"/>
    <cellStyle name="Lien hypertexte" xfId="156" builtinId="8" hidden="1"/>
    <cellStyle name="Lien hypertexte" xfId="158" builtinId="8" hidden="1"/>
    <cellStyle name="Lien hypertexte" xfId="160" builtinId="8" hidden="1"/>
    <cellStyle name="Lien hypertexte" xfId="162" builtinId="8" hidden="1"/>
    <cellStyle name="Lien hypertexte" xfId="164" builtinId="8" hidden="1"/>
    <cellStyle name="Lien hypertexte" xfId="166" builtinId="8" hidden="1"/>
    <cellStyle name="Lien hypertexte" xfId="168" builtinId="8" hidden="1"/>
    <cellStyle name="Lien hypertexte" xfId="170" builtinId="8" hidden="1"/>
    <cellStyle name="Lien hypertexte" xfId="172" builtinId="8" hidden="1"/>
    <cellStyle name="Lien hypertexte" xfId="174" builtinId="8" hidden="1"/>
    <cellStyle name="Lien hypertexte" xfId="176" builtinId="8" hidden="1"/>
    <cellStyle name="Lien hypertexte" xfId="178" builtinId="8" hidden="1"/>
    <cellStyle name="Lien hypertexte" xfId="180" builtinId="8" hidden="1"/>
    <cellStyle name="Lien hypertexte" xfId="182" builtinId="8" hidden="1"/>
    <cellStyle name="Lien hypertexte" xfId="184" builtinId="8" hidden="1"/>
    <cellStyle name="Lien hypertexte" xfId="186" builtinId="8" hidden="1"/>
    <cellStyle name="Lien hypertexte" xfId="188" builtinId="8" hidden="1"/>
    <cellStyle name="Lien hypertexte" xfId="190" builtinId="8" hidden="1"/>
    <cellStyle name="Lien hypertexte" xfId="192" builtinId="8" hidden="1"/>
    <cellStyle name="Lien hypertexte" xfId="194" builtinId="8" hidden="1"/>
    <cellStyle name="Lien hypertexte" xfId="196" builtinId="8" hidden="1"/>
    <cellStyle name="Lien hypertexte" xfId="198" builtinId="8" hidden="1"/>
    <cellStyle name="Lien hypertexte" xfId="200" builtinId="8" hidden="1"/>
    <cellStyle name="Lien hypertexte" xfId="202" builtinId="8" hidden="1"/>
    <cellStyle name="Lien hypertexte" xfId="204" builtinId="8" hidden="1"/>
    <cellStyle name="Lien hypertexte" xfId="206" builtinId="8" hidden="1"/>
    <cellStyle name="Lien hypertexte" xfId="208" builtinId="8" hidden="1"/>
    <cellStyle name="Lien hypertexte" xfId="210" builtinId="8" hidden="1"/>
    <cellStyle name="Lien hypertexte" xfId="212" builtinId="8" hidden="1"/>
    <cellStyle name="Lien hypertexte" xfId="214" builtinId="8" hidden="1"/>
    <cellStyle name="Lien hypertexte" xfId="216" builtinId="8" hidden="1"/>
    <cellStyle name="Lien hypertexte" xfId="218" builtinId="8" hidden="1"/>
    <cellStyle name="Lien hypertexte" xfId="220" builtinId="8" hidden="1"/>
    <cellStyle name="Lien hypertexte" xfId="222" builtinId="8" hidden="1"/>
    <cellStyle name="Lien hypertexte" xfId="224" builtinId="8" hidden="1"/>
    <cellStyle name="Lien hypertexte" xfId="226" builtinId="8" hidden="1"/>
    <cellStyle name="Lien hypertexte" xfId="228" builtinId="8" hidden="1"/>
    <cellStyle name="Lien hypertexte" xfId="230" builtinId="8" hidden="1"/>
    <cellStyle name="Lien hypertexte" xfId="232" builtinId="8" hidden="1"/>
    <cellStyle name="Lien hypertexte" xfId="234" builtinId="8" hidden="1"/>
    <cellStyle name="Lien hypertexte" xfId="236" builtinId="8" hidden="1"/>
    <cellStyle name="Lien hypertexte" xfId="238" builtinId="8" hidden="1"/>
    <cellStyle name="Lien hypertexte" xfId="240" builtinId="8" hidden="1"/>
    <cellStyle name="Lien hypertexte" xfId="242" builtinId="8" hidden="1"/>
    <cellStyle name="Lien hypertexte" xfId="244" builtinId="8" hidden="1"/>
    <cellStyle name="Lien hypertexte" xfId="246" builtinId="8" hidden="1"/>
    <cellStyle name="Lien hypertexte" xfId="248" builtinId="8" hidden="1"/>
    <cellStyle name="Lien hypertexte" xfId="250" builtinId="8" hidden="1"/>
    <cellStyle name="Lien hypertexte" xfId="252" builtinId="8" hidden="1"/>
    <cellStyle name="Lien hypertexte" xfId="254" builtinId="8" hidden="1"/>
    <cellStyle name="Lien hypertexte" xfId="256" builtinId="8" hidden="1"/>
    <cellStyle name="Lien hypertexte" xfId="258" builtinId="8" hidden="1"/>
    <cellStyle name="Lien hypertexte" xfId="260" builtinId="8" hidden="1"/>
    <cellStyle name="Lien hypertexte" xfId="262" builtinId="8" hidden="1"/>
    <cellStyle name="Lien hypertexte" xfId="264" builtinId="8" hidden="1"/>
    <cellStyle name="Lien hypertexte" xfId="266" builtinId="8" hidden="1"/>
    <cellStyle name="Lien hypertexte" xfId="268" builtinId="8" hidden="1"/>
    <cellStyle name="Lien hypertexte" xfId="270" builtinId="8" hidden="1"/>
    <cellStyle name="Lien hypertexte" xfId="272" builtinId="8" hidden="1"/>
    <cellStyle name="Lien hypertexte" xfId="274" builtinId="8" hidden="1"/>
    <cellStyle name="Lien hypertexte" xfId="276" builtinId="8" hidden="1"/>
    <cellStyle name="Lien hypertexte" xfId="278" builtinId="8" hidden="1"/>
    <cellStyle name="Lien hypertexte" xfId="280" builtinId="8" hidden="1"/>
    <cellStyle name="Lien hypertexte" xfId="282" builtinId="8" hidden="1"/>
    <cellStyle name="Lien hypertexte" xfId="284" builtinId="8" hidden="1"/>
    <cellStyle name="Lien hypertexte" xfId="286" builtinId="8" hidden="1"/>
    <cellStyle name="Lien hypertexte" xfId="288" builtinId="8" hidden="1"/>
    <cellStyle name="Lien hypertexte" xfId="290" builtinId="8" hidden="1"/>
    <cellStyle name="Lien hypertexte" xfId="292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Lien hypertexte visité" xfId="83" builtinId="9" hidden="1"/>
    <cellStyle name="Lien hypertexte visité" xfId="85" builtinId="9" hidden="1"/>
    <cellStyle name="Lien hypertexte visité" xfId="87" builtinId="9" hidden="1"/>
    <cellStyle name="Lien hypertexte visité" xfId="89" builtinId="9" hidden="1"/>
    <cellStyle name="Lien hypertexte visité" xfId="91" builtinId="9" hidden="1"/>
    <cellStyle name="Lien hypertexte visité" xfId="93" builtinId="9" hidden="1"/>
    <cellStyle name="Lien hypertexte visité" xfId="95" builtinId="9" hidden="1"/>
    <cellStyle name="Lien hypertexte visité" xfId="97" builtinId="9" hidden="1"/>
    <cellStyle name="Lien hypertexte visité" xfId="99" builtinId="9" hidden="1"/>
    <cellStyle name="Lien hypertexte visité" xfId="101" builtinId="9" hidden="1"/>
    <cellStyle name="Lien hypertexte visité" xfId="103" builtinId="9" hidden="1"/>
    <cellStyle name="Lien hypertexte visité" xfId="105" builtinId="9" hidden="1"/>
    <cellStyle name="Lien hypertexte visité" xfId="107" builtinId="9" hidden="1"/>
    <cellStyle name="Lien hypertexte visité" xfId="109" builtinId="9" hidden="1"/>
    <cellStyle name="Lien hypertexte visité" xfId="111" builtinId="9" hidden="1"/>
    <cellStyle name="Lien hypertexte visité" xfId="113" builtinId="9" hidden="1"/>
    <cellStyle name="Lien hypertexte visité" xfId="115" builtinId="9" hidden="1"/>
    <cellStyle name="Lien hypertexte visité" xfId="117" builtinId="9" hidden="1"/>
    <cellStyle name="Lien hypertexte visité" xfId="119" builtinId="9" hidden="1"/>
    <cellStyle name="Lien hypertexte visité" xfId="121" builtinId="9" hidden="1"/>
    <cellStyle name="Lien hypertexte visité" xfId="123" builtinId="9" hidden="1"/>
    <cellStyle name="Lien hypertexte visité" xfId="125" builtinId="9" hidden="1"/>
    <cellStyle name="Lien hypertexte visité" xfId="127" builtinId="9" hidden="1"/>
    <cellStyle name="Lien hypertexte visité" xfId="129" builtinId="9" hidden="1"/>
    <cellStyle name="Lien hypertexte visité" xfId="131" builtinId="9" hidden="1"/>
    <cellStyle name="Lien hypertexte visité" xfId="133" builtinId="9" hidden="1"/>
    <cellStyle name="Lien hypertexte visité" xfId="135" builtinId="9" hidden="1"/>
    <cellStyle name="Lien hypertexte visité" xfId="137" builtinId="9" hidden="1"/>
    <cellStyle name="Lien hypertexte visité" xfId="139" builtinId="9" hidden="1"/>
    <cellStyle name="Lien hypertexte visité" xfId="141" builtinId="9" hidden="1"/>
    <cellStyle name="Lien hypertexte visité" xfId="143" builtinId="9" hidden="1"/>
    <cellStyle name="Lien hypertexte visité" xfId="145" builtinId="9" hidden="1"/>
    <cellStyle name="Lien hypertexte visité" xfId="147" builtinId="9" hidden="1"/>
    <cellStyle name="Lien hypertexte visité" xfId="149" builtinId="9" hidden="1"/>
    <cellStyle name="Lien hypertexte visité" xfId="151" builtinId="9" hidden="1"/>
    <cellStyle name="Lien hypertexte visité" xfId="153" builtinId="9" hidden="1"/>
    <cellStyle name="Lien hypertexte visité" xfId="155" builtinId="9" hidden="1"/>
    <cellStyle name="Lien hypertexte visité" xfId="157" builtinId="9" hidden="1"/>
    <cellStyle name="Lien hypertexte visité" xfId="159" builtinId="9" hidden="1"/>
    <cellStyle name="Lien hypertexte visité" xfId="161" builtinId="9" hidden="1"/>
    <cellStyle name="Lien hypertexte visité" xfId="163" builtinId="9" hidden="1"/>
    <cellStyle name="Lien hypertexte visité" xfId="165" builtinId="9" hidden="1"/>
    <cellStyle name="Lien hypertexte visité" xfId="167" builtinId="9" hidden="1"/>
    <cellStyle name="Lien hypertexte visité" xfId="169" builtinId="9" hidden="1"/>
    <cellStyle name="Lien hypertexte visité" xfId="171" builtinId="9" hidden="1"/>
    <cellStyle name="Lien hypertexte visité" xfId="173" builtinId="9" hidden="1"/>
    <cellStyle name="Lien hypertexte visité" xfId="175" builtinId="9" hidden="1"/>
    <cellStyle name="Lien hypertexte visité" xfId="177" builtinId="9" hidden="1"/>
    <cellStyle name="Lien hypertexte visité" xfId="179" builtinId="9" hidden="1"/>
    <cellStyle name="Lien hypertexte visité" xfId="181" builtinId="9" hidden="1"/>
    <cellStyle name="Lien hypertexte visité" xfId="183" builtinId="9" hidden="1"/>
    <cellStyle name="Lien hypertexte visité" xfId="185" builtinId="9" hidden="1"/>
    <cellStyle name="Lien hypertexte visité" xfId="187" builtinId="9" hidden="1"/>
    <cellStyle name="Lien hypertexte visité" xfId="189" builtinId="9" hidden="1"/>
    <cellStyle name="Lien hypertexte visité" xfId="191" builtinId="9" hidden="1"/>
    <cellStyle name="Lien hypertexte visité" xfId="193" builtinId="9" hidden="1"/>
    <cellStyle name="Lien hypertexte visité" xfId="195" builtinId="9" hidden="1"/>
    <cellStyle name="Lien hypertexte visité" xfId="197" builtinId="9" hidden="1"/>
    <cellStyle name="Lien hypertexte visité" xfId="199" builtinId="9" hidden="1"/>
    <cellStyle name="Lien hypertexte visité" xfId="201" builtinId="9" hidden="1"/>
    <cellStyle name="Lien hypertexte visité" xfId="203" builtinId="9" hidden="1"/>
    <cellStyle name="Lien hypertexte visité" xfId="205" builtinId="9" hidden="1"/>
    <cellStyle name="Lien hypertexte visité" xfId="207" builtinId="9" hidden="1"/>
    <cellStyle name="Lien hypertexte visité" xfId="209" builtinId="9" hidden="1"/>
    <cellStyle name="Lien hypertexte visité" xfId="211" builtinId="9" hidden="1"/>
    <cellStyle name="Lien hypertexte visité" xfId="213" builtinId="9" hidden="1"/>
    <cellStyle name="Lien hypertexte visité" xfId="215" builtinId="9" hidden="1"/>
    <cellStyle name="Lien hypertexte visité" xfId="217" builtinId="9" hidden="1"/>
    <cellStyle name="Lien hypertexte visité" xfId="219" builtinId="9" hidden="1"/>
    <cellStyle name="Lien hypertexte visité" xfId="221" builtinId="9" hidden="1"/>
    <cellStyle name="Lien hypertexte visité" xfId="223" builtinId="9" hidden="1"/>
    <cellStyle name="Lien hypertexte visité" xfId="225" builtinId="9" hidden="1"/>
    <cellStyle name="Lien hypertexte visité" xfId="227" builtinId="9" hidden="1"/>
    <cellStyle name="Lien hypertexte visité" xfId="229" builtinId="9" hidden="1"/>
    <cellStyle name="Lien hypertexte visité" xfId="231" builtinId="9" hidden="1"/>
    <cellStyle name="Lien hypertexte visité" xfId="233" builtinId="9" hidden="1"/>
    <cellStyle name="Lien hypertexte visité" xfId="235" builtinId="9" hidden="1"/>
    <cellStyle name="Lien hypertexte visité" xfId="237" builtinId="9" hidden="1"/>
    <cellStyle name="Lien hypertexte visité" xfId="239" builtinId="9" hidden="1"/>
    <cellStyle name="Lien hypertexte visité" xfId="241" builtinId="9" hidden="1"/>
    <cellStyle name="Lien hypertexte visité" xfId="243" builtinId="9" hidden="1"/>
    <cellStyle name="Lien hypertexte visité" xfId="245" builtinId="9" hidden="1"/>
    <cellStyle name="Lien hypertexte visité" xfId="247" builtinId="9" hidden="1"/>
    <cellStyle name="Lien hypertexte visité" xfId="249" builtinId="9" hidden="1"/>
    <cellStyle name="Lien hypertexte visité" xfId="251" builtinId="9" hidden="1"/>
    <cellStyle name="Lien hypertexte visité" xfId="253" builtinId="9" hidden="1"/>
    <cellStyle name="Lien hypertexte visité" xfId="255" builtinId="9" hidden="1"/>
    <cellStyle name="Lien hypertexte visité" xfId="257" builtinId="9" hidden="1"/>
    <cellStyle name="Lien hypertexte visité" xfId="259" builtinId="9" hidden="1"/>
    <cellStyle name="Lien hypertexte visité" xfId="261" builtinId="9" hidden="1"/>
    <cellStyle name="Lien hypertexte visité" xfId="263" builtinId="9" hidden="1"/>
    <cellStyle name="Lien hypertexte visité" xfId="265" builtinId="9" hidden="1"/>
    <cellStyle name="Lien hypertexte visité" xfId="267" builtinId="9" hidden="1"/>
    <cellStyle name="Lien hypertexte visité" xfId="269" builtinId="9" hidden="1"/>
    <cellStyle name="Lien hypertexte visité" xfId="271" builtinId="9" hidden="1"/>
    <cellStyle name="Lien hypertexte visité" xfId="273" builtinId="9" hidden="1"/>
    <cellStyle name="Lien hypertexte visité" xfId="275" builtinId="9" hidden="1"/>
    <cellStyle name="Lien hypertexte visité" xfId="277" builtinId="9" hidden="1"/>
    <cellStyle name="Lien hypertexte visité" xfId="279" builtinId="9" hidden="1"/>
    <cellStyle name="Lien hypertexte visité" xfId="281" builtinId="9" hidden="1"/>
    <cellStyle name="Lien hypertexte visité" xfId="283" builtinId="9" hidden="1"/>
    <cellStyle name="Lien hypertexte visité" xfId="285" builtinId="9" hidden="1"/>
    <cellStyle name="Lien hypertexte visité" xfId="287" builtinId="9" hidden="1"/>
    <cellStyle name="Lien hypertexte visité" xfId="289" builtinId="9" hidden="1"/>
    <cellStyle name="Lien hypertexte visité" xfId="291" builtinId="9" hidden="1"/>
    <cellStyle name="Lien hypertexte visité" xfId="293" builtinId="9" hidden="1"/>
    <cellStyle name="Milliers" xfId="1" builtinId="3"/>
    <cellStyle name="Normal" xfId="0" builtinId="0"/>
    <cellStyle name="Pourcentage" xfId="294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topLeftCell="A3" zoomScale="210" zoomScaleNormal="210" workbookViewId="0">
      <selection activeCell="C10" sqref="C10"/>
    </sheetView>
  </sheetViews>
  <sheetFormatPr baseColWidth="10" defaultRowHeight="16" x14ac:dyDescent="0.2"/>
  <cols>
    <col min="1" max="1" width="31.83203125" customWidth="1"/>
  </cols>
  <sheetData>
    <row r="1" spans="1:5" ht="20" x14ac:dyDescent="0.25">
      <c r="A1" s="3" t="s">
        <v>85</v>
      </c>
      <c r="B1" s="1"/>
      <c r="C1" s="1"/>
      <c r="D1" s="32"/>
      <c r="E1" s="1"/>
    </row>
    <row r="2" spans="1:5" x14ac:dyDescent="0.2">
      <c r="A2" s="2" t="s">
        <v>12</v>
      </c>
      <c r="B2" s="1"/>
      <c r="C2" s="1"/>
      <c r="D2" s="32"/>
      <c r="E2" s="1"/>
    </row>
    <row r="3" spans="1:5" x14ac:dyDescent="0.2">
      <c r="A3" s="1" t="s">
        <v>0</v>
      </c>
      <c r="B3" s="33"/>
      <c r="C3" s="33"/>
      <c r="D3" s="34"/>
      <c r="E3" s="33" t="s">
        <v>73</v>
      </c>
    </row>
    <row r="4" spans="1:5" x14ac:dyDescent="0.2">
      <c r="A4" s="1"/>
      <c r="B4" s="4">
        <v>2021</v>
      </c>
      <c r="C4" s="4">
        <v>2022</v>
      </c>
      <c r="D4" s="35">
        <v>2023</v>
      </c>
      <c r="E4" s="4" t="s">
        <v>74</v>
      </c>
    </row>
    <row r="5" spans="1:5" x14ac:dyDescent="0.2">
      <c r="A5" s="6" t="s">
        <v>13</v>
      </c>
      <c r="B5" s="58">
        <v>7233.3</v>
      </c>
      <c r="C5" s="58">
        <v>8538.1</v>
      </c>
      <c r="D5" s="59">
        <v>10314.1</v>
      </c>
      <c r="E5" s="37">
        <f>(D5/B5)-1</f>
        <v>0.42591901345167482</v>
      </c>
    </row>
    <row r="6" spans="1:5" x14ac:dyDescent="0.2">
      <c r="A6" s="7"/>
      <c r="B6" s="60"/>
      <c r="C6" s="60"/>
      <c r="D6" s="61"/>
      <c r="E6" s="38"/>
    </row>
    <row r="7" spans="1:5" x14ac:dyDescent="0.2">
      <c r="A7" s="8" t="s">
        <v>38</v>
      </c>
      <c r="B7" s="58">
        <v>6615.6</v>
      </c>
      <c r="C7" s="58">
        <v>7792.5</v>
      </c>
      <c r="D7" s="62">
        <v>9409.7999999999993</v>
      </c>
      <c r="E7" s="39">
        <f>(D7/B7)-1</f>
        <v>0.42236531833847257</v>
      </c>
    </row>
    <row r="8" spans="1:5" x14ac:dyDescent="0.2">
      <c r="A8" s="6" t="s">
        <v>39</v>
      </c>
      <c r="B8" s="63">
        <f>B5-B7</f>
        <v>617.69999999999982</v>
      </c>
      <c r="C8" s="63">
        <f>C5-C7</f>
        <v>745.60000000000036</v>
      </c>
      <c r="D8" s="64">
        <f>D5-D7</f>
        <v>904.30000000000109</v>
      </c>
      <c r="E8" s="40">
        <f>(D8/B8)-1</f>
        <v>0.46397927796665273</v>
      </c>
    </row>
    <row r="9" spans="1:5" x14ac:dyDescent="0.2">
      <c r="A9" s="8"/>
      <c r="B9" s="65"/>
      <c r="C9" s="65"/>
      <c r="D9" s="66"/>
      <c r="E9" s="38"/>
    </row>
    <row r="10" spans="1:5" x14ac:dyDescent="0.2">
      <c r="A10" s="9" t="s">
        <v>42</v>
      </c>
      <c r="B10" s="67">
        <v>0</v>
      </c>
      <c r="C10" s="67">
        <v>0</v>
      </c>
      <c r="D10" s="68">
        <v>0</v>
      </c>
      <c r="E10" s="38"/>
    </row>
    <row r="11" spans="1:5" x14ac:dyDescent="0.2">
      <c r="A11" s="10" t="s">
        <v>44</v>
      </c>
      <c r="B11" s="69">
        <v>726.7</v>
      </c>
      <c r="C11" s="69">
        <v>801.1</v>
      </c>
      <c r="D11" s="70">
        <v>861.7</v>
      </c>
      <c r="E11" s="37">
        <f>(D11/B11)-1</f>
        <v>0.18577129489472965</v>
      </c>
    </row>
    <row r="12" spans="1:5" x14ac:dyDescent="0.2">
      <c r="A12" s="8"/>
      <c r="B12" s="65"/>
      <c r="C12" s="65"/>
      <c r="D12" s="66"/>
      <c r="E12" s="38"/>
    </row>
    <row r="13" spans="1:5" x14ac:dyDescent="0.2">
      <c r="A13" s="8" t="s">
        <v>14</v>
      </c>
      <c r="B13" s="55">
        <f>B11-B14</f>
        <v>475.30000000000007</v>
      </c>
      <c r="C13" s="55">
        <f t="shared" ref="C13:D13" si="0">C11-C14</f>
        <v>498.6</v>
      </c>
      <c r="D13" s="55">
        <f t="shared" si="0"/>
        <v>515.6</v>
      </c>
      <c r="E13" s="38"/>
    </row>
    <row r="14" spans="1:5" x14ac:dyDescent="0.2">
      <c r="A14" s="10" t="s">
        <v>45</v>
      </c>
      <c r="B14" s="69">
        <v>251.4</v>
      </c>
      <c r="C14" s="69">
        <v>302.5</v>
      </c>
      <c r="D14" s="70">
        <v>346.1</v>
      </c>
      <c r="E14" s="37">
        <f>(D14/B14)-1</f>
        <v>0.37669053301511535</v>
      </c>
    </row>
    <row r="15" spans="1:5" x14ac:dyDescent="0.2">
      <c r="A15" s="7"/>
      <c r="B15" s="60"/>
      <c r="C15" s="60"/>
      <c r="D15" s="61"/>
      <c r="E15" s="38"/>
    </row>
    <row r="16" spans="1:5" x14ac:dyDescent="0.2">
      <c r="A16" s="6" t="s">
        <v>15</v>
      </c>
      <c r="B16" s="69">
        <v>135.6</v>
      </c>
      <c r="C16" s="69">
        <v>177.5</v>
      </c>
      <c r="D16" s="70">
        <v>163</v>
      </c>
      <c r="E16" s="37">
        <f>(D16/B16)-1</f>
        <v>0.20206489675516237</v>
      </c>
    </row>
    <row r="17" spans="1:5" x14ac:dyDescent="0.2">
      <c r="A17" s="7"/>
      <c r="B17" s="60"/>
      <c r="C17" s="60"/>
      <c r="D17" s="61"/>
      <c r="E17" s="38"/>
    </row>
    <row r="18" spans="1:5" x14ac:dyDescent="0.2">
      <c r="A18" s="5" t="s">
        <v>43</v>
      </c>
      <c r="B18" s="71">
        <v>126.4</v>
      </c>
      <c r="C18" s="71">
        <v>167.6</v>
      </c>
      <c r="D18" s="72">
        <v>163.1</v>
      </c>
      <c r="E18" s="41">
        <f>(D18/B18)-1</f>
        <v>0.29034810126582267</v>
      </c>
    </row>
    <row r="19" spans="1:5" x14ac:dyDescent="0.2">
      <c r="A19" s="36"/>
      <c r="B19" s="73"/>
      <c r="C19" s="73"/>
      <c r="D19" s="74"/>
      <c r="E19" s="38"/>
    </row>
    <row r="20" spans="1:5" x14ac:dyDescent="0.2">
      <c r="A20" s="36" t="s">
        <v>16</v>
      </c>
      <c r="B20" s="56">
        <v>1182.7</v>
      </c>
      <c r="C20" s="56">
        <v>1387.9</v>
      </c>
      <c r="D20" s="56">
        <v>1706.7</v>
      </c>
      <c r="E20" s="40">
        <f t="shared" ref="E20:E22" si="1">(D20/B20)-1</f>
        <v>0.44305402891688517</v>
      </c>
    </row>
    <row r="21" spans="1:5" x14ac:dyDescent="0.2">
      <c r="A21" s="36" t="s">
        <v>17</v>
      </c>
      <c r="B21" s="56">
        <v>258</v>
      </c>
      <c r="C21" s="56">
        <v>276.89999999999998</v>
      </c>
      <c r="D21" s="56">
        <v>300.10000000000002</v>
      </c>
      <c r="E21" s="40">
        <f t="shared" si="1"/>
        <v>0.16317829457364352</v>
      </c>
    </row>
    <row r="22" spans="1:5" x14ac:dyDescent="0.2">
      <c r="A22" s="30" t="s">
        <v>41</v>
      </c>
      <c r="B22" s="57">
        <v>48.7</v>
      </c>
      <c r="C22" s="57">
        <v>67.099999999999994</v>
      </c>
      <c r="D22" s="57">
        <v>105.7</v>
      </c>
      <c r="E22" s="39">
        <f t="shared" si="1"/>
        <v>1.1704312114989732</v>
      </c>
    </row>
  </sheetData>
  <conditionalFormatting sqref="A1:A2">
    <cfRule type="duplicateValues" dxfId="3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4"/>
  <sheetViews>
    <sheetView topLeftCell="A10" zoomScale="190" zoomScaleNormal="190" workbookViewId="0">
      <selection activeCell="G33" sqref="G33"/>
    </sheetView>
  </sheetViews>
  <sheetFormatPr baseColWidth="10" defaultRowHeight="16" x14ac:dyDescent="0.2"/>
  <cols>
    <col min="1" max="1" width="41" customWidth="1"/>
    <col min="2" max="4" width="10.83203125" style="27"/>
  </cols>
  <sheetData>
    <row r="1" spans="1:4" ht="20" x14ac:dyDescent="0.25">
      <c r="A1" s="3" t="s">
        <v>85</v>
      </c>
      <c r="B1" s="20"/>
      <c r="C1" s="20"/>
      <c r="D1" s="20"/>
    </row>
    <row r="2" spans="1:4" x14ac:dyDescent="0.2">
      <c r="A2" s="2" t="s">
        <v>40</v>
      </c>
      <c r="B2" s="20"/>
      <c r="C2" s="20"/>
      <c r="D2" s="20"/>
    </row>
    <row r="3" spans="1:4" x14ac:dyDescent="0.2">
      <c r="A3" s="1" t="s">
        <v>0</v>
      </c>
      <c r="B3" s="4"/>
      <c r="C3" s="4"/>
      <c r="D3" s="4"/>
    </row>
    <row r="4" spans="1:4" x14ac:dyDescent="0.2">
      <c r="A4" s="1"/>
      <c r="B4" s="4">
        <v>2021</v>
      </c>
      <c r="C4" s="4">
        <v>2022</v>
      </c>
      <c r="D4" s="4">
        <v>2023</v>
      </c>
    </row>
    <row r="5" spans="1:4" x14ac:dyDescent="0.2">
      <c r="A5" s="11" t="s">
        <v>8</v>
      </c>
      <c r="B5" s="21"/>
      <c r="C5" s="22"/>
      <c r="D5" s="21"/>
    </row>
    <row r="6" spans="1:4" x14ac:dyDescent="0.2">
      <c r="A6" s="12" t="s">
        <v>20</v>
      </c>
      <c r="B6" s="23"/>
      <c r="C6" s="24"/>
      <c r="D6" s="23"/>
    </row>
    <row r="7" spans="1:4" x14ac:dyDescent="0.2">
      <c r="A7" s="13" t="s">
        <v>21</v>
      </c>
      <c r="B7" s="75">
        <v>892.6</v>
      </c>
      <c r="C7" s="76">
        <v>575.6</v>
      </c>
      <c r="D7" s="75">
        <v>637.4</v>
      </c>
    </row>
    <row r="8" spans="1:4" x14ac:dyDescent="0.2">
      <c r="A8" s="13" t="s">
        <v>22</v>
      </c>
      <c r="B8" s="75">
        <v>1073.2</v>
      </c>
      <c r="C8" s="76">
        <v>1455.8</v>
      </c>
      <c r="D8" s="75">
        <v>1382.6</v>
      </c>
    </row>
    <row r="9" spans="1:4" x14ac:dyDescent="0.2">
      <c r="A9" s="13" t="s">
        <v>23</v>
      </c>
      <c r="B9" s="75">
        <v>0.1</v>
      </c>
      <c r="C9" s="76">
        <v>12.1</v>
      </c>
      <c r="D9" s="75">
        <v>8</v>
      </c>
    </row>
    <row r="10" spans="1:4" x14ac:dyDescent="0.2">
      <c r="A10" s="14" t="s">
        <v>24</v>
      </c>
      <c r="B10" s="77">
        <v>656.1</v>
      </c>
      <c r="C10" s="78">
        <v>880.3</v>
      </c>
      <c r="D10" s="77">
        <v>1021.7</v>
      </c>
    </row>
    <row r="11" spans="1:4" x14ac:dyDescent="0.2">
      <c r="A11" s="13" t="s">
        <v>25</v>
      </c>
      <c r="B11" s="79">
        <f>SUM(B7:B10)</f>
        <v>2622</v>
      </c>
      <c r="C11" s="80">
        <f t="shared" ref="C11:D11" si="0">SUM(C7:C10)</f>
        <v>2923.8</v>
      </c>
      <c r="D11" s="79">
        <f t="shared" si="0"/>
        <v>3049.7</v>
      </c>
    </row>
    <row r="12" spans="1:4" x14ac:dyDescent="0.2">
      <c r="A12" s="15"/>
      <c r="B12" s="79"/>
      <c r="C12" s="80"/>
      <c r="D12" s="79"/>
    </row>
    <row r="13" spans="1:4" x14ac:dyDescent="0.2">
      <c r="A13" s="15" t="s">
        <v>26</v>
      </c>
      <c r="B13" s="75">
        <v>1638.9</v>
      </c>
      <c r="C13" s="76">
        <v>1860.1</v>
      </c>
      <c r="D13" s="75">
        <v>1880.2</v>
      </c>
    </row>
    <row r="14" spans="1:4" x14ac:dyDescent="0.2">
      <c r="A14" s="15" t="s">
        <v>75</v>
      </c>
      <c r="B14" s="75">
        <v>1565.6</v>
      </c>
      <c r="C14" s="76">
        <v>2001.9</v>
      </c>
      <c r="D14" s="75">
        <v>2017.1</v>
      </c>
    </row>
    <row r="15" spans="1:4" x14ac:dyDescent="0.2">
      <c r="A15" s="15" t="s">
        <v>27</v>
      </c>
      <c r="B15" s="75">
        <v>383.9</v>
      </c>
      <c r="C15" s="76">
        <v>429.3</v>
      </c>
      <c r="D15" s="75">
        <v>435.4</v>
      </c>
    </row>
    <row r="16" spans="1:4" x14ac:dyDescent="0.2">
      <c r="A16" s="31" t="s">
        <v>28</v>
      </c>
      <c r="B16" s="75">
        <v>134.30000000000001</v>
      </c>
      <c r="C16" s="76">
        <v>189.7</v>
      </c>
      <c r="D16" s="75">
        <v>166.6</v>
      </c>
    </row>
    <row r="17" spans="1:4" ht="17" thickBot="1" x14ac:dyDescent="0.25">
      <c r="A17" s="16" t="s">
        <v>18</v>
      </c>
      <c r="B17" s="81">
        <f>SUM(B11:B16)</f>
        <v>6344.7</v>
      </c>
      <c r="C17" s="81">
        <f t="shared" ref="C17:D17" si="1">SUM(C11:C16)</f>
        <v>7404.7999999999993</v>
      </c>
      <c r="D17" s="81">
        <f t="shared" si="1"/>
        <v>7549</v>
      </c>
    </row>
    <row r="18" spans="1:4" ht="17" thickTop="1" x14ac:dyDescent="0.2">
      <c r="A18" s="17"/>
      <c r="B18" s="82"/>
      <c r="C18" s="83"/>
      <c r="D18" s="82"/>
    </row>
    <row r="19" spans="1:4" x14ac:dyDescent="0.2">
      <c r="A19" s="17" t="s">
        <v>29</v>
      </c>
      <c r="B19" s="79"/>
      <c r="C19" s="80"/>
      <c r="D19" s="79"/>
    </row>
    <row r="20" spans="1:4" x14ac:dyDescent="0.2">
      <c r="A20" s="12" t="s">
        <v>11</v>
      </c>
      <c r="B20" s="79"/>
      <c r="C20" s="80"/>
      <c r="D20" s="79"/>
    </row>
    <row r="21" spans="1:4" x14ac:dyDescent="0.2">
      <c r="A21" s="13" t="s">
        <v>30</v>
      </c>
      <c r="B21" s="75">
        <v>1190.9000000000001</v>
      </c>
      <c r="C21" s="76">
        <v>1589.8</v>
      </c>
      <c r="D21" s="75">
        <v>1621.5</v>
      </c>
    </row>
    <row r="22" spans="1:4" x14ac:dyDescent="0.2">
      <c r="A22" s="13" t="s">
        <v>76</v>
      </c>
      <c r="B22" s="75">
        <v>482.2</v>
      </c>
      <c r="C22" s="76">
        <v>860.3</v>
      </c>
      <c r="D22" s="75">
        <v>1295.8</v>
      </c>
    </row>
    <row r="23" spans="1:4" x14ac:dyDescent="0.2">
      <c r="A23" s="13" t="s">
        <v>31</v>
      </c>
      <c r="B23" s="75">
        <f>1104.1+25</f>
        <v>1129.0999999999999</v>
      </c>
      <c r="C23" s="76">
        <f>1311.1+35</f>
        <v>1346.1</v>
      </c>
      <c r="D23" s="75">
        <f>1447.7+46.4</f>
        <v>1494.1000000000001</v>
      </c>
    </row>
    <row r="24" spans="1:4" x14ac:dyDescent="0.2">
      <c r="A24" s="18" t="s">
        <v>32</v>
      </c>
      <c r="B24" s="84">
        <f>SUM(B21:B23)</f>
        <v>2802.2</v>
      </c>
      <c r="C24" s="85">
        <f>SUM(C21:C23)</f>
        <v>3796.2</v>
      </c>
      <c r="D24" s="84">
        <f>SUM(D21:D23)</f>
        <v>4411.4000000000005</v>
      </c>
    </row>
    <row r="25" spans="1:4" x14ac:dyDescent="0.2">
      <c r="A25" s="13"/>
      <c r="B25" s="79"/>
      <c r="C25" s="80"/>
      <c r="D25" s="79"/>
    </row>
    <row r="26" spans="1:4" x14ac:dyDescent="0.2">
      <c r="A26" s="42" t="s">
        <v>33</v>
      </c>
      <c r="B26" s="75">
        <v>1283.2</v>
      </c>
      <c r="C26" s="76">
        <v>1444.1</v>
      </c>
      <c r="D26" s="75">
        <v>974.9</v>
      </c>
    </row>
    <row r="27" spans="1:4" x14ac:dyDescent="0.2">
      <c r="A27" s="12" t="s">
        <v>77</v>
      </c>
      <c r="B27" s="75">
        <f>120.8+40.4+40+13.3</f>
        <v>214.5</v>
      </c>
      <c r="C27" s="76">
        <f>48.1+30+146.6+20.9</f>
        <v>245.6</v>
      </c>
      <c r="D27" s="75">
        <f>138.9+22.7+21</f>
        <v>182.6</v>
      </c>
    </row>
    <row r="28" spans="1:4" x14ac:dyDescent="0.2">
      <c r="A28" s="11" t="s">
        <v>37</v>
      </c>
      <c r="B28" s="86">
        <f>SUM(B24:B27)</f>
        <v>4299.8999999999996</v>
      </c>
      <c r="C28" s="87">
        <f>SUM(C24:C27)</f>
        <v>5485.9</v>
      </c>
      <c r="D28" s="86">
        <f>SUM(D24:D27)</f>
        <v>5568.9000000000005</v>
      </c>
    </row>
    <row r="29" spans="1:4" x14ac:dyDescent="0.2">
      <c r="A29" s="17"/>
      <c r="B29" s="82"/>
      <c r="C29" s="83"/>
      <c r="D29" s="82"/>
    </row>
    <row r="30" spans="1:4" x14ac:dyDescent="0.2">
      <c r="A30" s="17" t="s">
        <v>19</v>
      </c>
      <c r="B30" s="79"/>
      <c r="C30" s="80"/>
      <c r="D30" s="79"/>
    </row>
    <row r="31" spans="1:4" x14ac:dyDescent="0.2">
      <c r="A31" s="12" t="s">
        <v>34</v>
      </c>
      <c r="B31" s="43">
        <v>1976</v>
      </c>
      <c r="C31" s="44">
        <v>1890</v>
      </c>
      <c r="D31" s="43">
        <v>1946</v>
      </c>
    </row>
    <row r="32" spans="1:4" x14ac:dyDescent="0.2">
      <c r="A32" s="12" t="s">
        <v>35</v>
      </c>
      <c r="B32" s="43">
        <v>69</v>
      </c>
      <c r="C32" s="44">
        <v>29</v>
      </c>
      <c r="D32" s="43">
        <v>35</v>
      </c>
    </row>
    <row r="33" spans="1:7" x14ac:dyDescent="0.2">
      <c r="A33" s="19" t="s">
        <v>19</v>
      </c>
      <c r="B33" s="45">
        <f>B31+B32</f>
        <v>2045</v>
      </c>
      <c r="C33" s="45">
        <f>C31+C32</f>
        <v>1919</v>
      </c>
      <c r="D33" s="45">
        <f>D31+D32</f>
        <v>1981</v>
      </c>
      <c r="F33" s="99"/>
      <c r="G33" s="99"/>
    </row>
    <row r="34" spans="1:7" x14ac:dyDescent="0.2">
      <c r="A34" s="19" t="s">
        <v>36</v>
      </c>
      <c r="B34" s="25">
        <f>B28+B33</f>
        <v>6344.9</v>
      </c>
      <c r="C34" s="26">
        <f t="shared" ref="C34:D34" si="2">C28+C33</f>
        <v>7404.9</v>
      </c>
      <c r="D34" s="25">
        <f t="shared" si="2"/>
        <v>7549.9000000000005</v>
      </c>
    </row>
  </sheetData>
  <conditionalFormatting sqref="A1:A2">
    <cfRule type="duplicateValues" dxfId="2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2"/>
  <sheetViews>
    <sheetView topLeftCell="A2" zoomScale="220" zoomScaleNormal="220" workbookViewId="0">
      <selection activeCell="B21" sqref="B21"/>
    </sheetView>
  </sheetViews>
  <sheetFormatPr baseColWidth="10" defaultRowHeight="16" x14ac:dyDescent="0.2"/>
  <cols>
    <col min="1" max="1" width="32.1640625" customWidth="1"/>
    <col min="2" max="2" width="11" bestFit="1" customWidth="1"/>
  </cols>
  <sheetData>
    <row r="1" spans="1:4" ht="20" x14ac:dyDescent="0.25">
      <c r="A1" s="3" t="s">
        <v>85</v>
      </c>
      <c r="B1" s="20"/>
      <c r="C1" s="20"/>
      <c r="D1" s="20"/>
    </row>
    <row r="2" spans="1:4" x14ac:dyDescent="0.2">
      <c r="A2" s="2" t="s">
        <v>7</v>
      </c>
      <c r="B2" s="20"/>
      <c r="C2" s="20"/>
      <c r="D2" s="20"/>
    </row>
    <row r="3" spans="1:4" x14ac:dyDescent="0.2">
      <c r="A3" s="1" t="s">
        <v>0</v>
      </c>
      <c r="B3" s="4"/>
      <c r="C3" s="4"/>
      <c r="D3" s="4"/>
    </row>
    <row r="4" spans="1:4" x14ac:dyDescent="0.2">
      <c r="A4" s="1"/>
      <c r="B4" s="4">
        <v>2021</v>
      </c>
      <c r="C4" s="4">
        <v>2022</v>
      </c>
      <c r="D4" s="4">
        <v>2023</v>
      </c>
    </row>
    <row r="5" spans="1:4" x14ac:dyDescent="0.2">
      <c r="A5" s="11" t="s">
        <v>8</v>
      </c>
      <c r="B5" s="21"/>
      <c r="C5" s="22"/>
      <c r="D5" s="21"/>
    </row>
    <row r="6" spans="1:4" x14ac:dyDescent="0.2">
      <c r="A6" s="12" t="s">
        <v>9</v>
      </c>
      <c r="B6" s="23"/>
      <c r="C6" s="24"/>
      <c r="D6" s="23"/>
    </row>
    <row r="7" spans="1:4" x14ac:dyDescent="0.2">
      <c r="A7" s="13" t="s">
        <v>22</v>
      </c>
      <c r="B7" s="79">
        <f>Bilan!B8</f>
        <v>1073.2</v>
      </c>
      <c r="C7" s="79">
        <f>Bilan!C8</f>
        <v>1455.8</v>
      </c>
      <c r="D7" s="79">
        <f>Bilan!D8</f>
        <v>1382.6</v>
      </c>
    </row>
    <row r="8" spans="1:4" x14ac:dyDescent="0.2">
      <c r="A8" s="13" t="s">
        <v>23</v>
      </c>
      <c r="B8" s="79">
        <f>Bilan!B9</f>
        <v>0.1</v>
      </c>
      <c r="C8" s="79">
        <f>Bilan!C9</f>
        <v>12.1</v>
      </c>
      <c r="D8" s="79">
        <f>Bilan!D9</f>
        <v>8</v>
      </c>
    </row>
    <row r="9" spans="1:4" x14ac:dyDescent="0.2">
      <c r="A9" s="14" t="s">
        <v>24</v>
      </c>
      <c r="B9" s="79">
        <f>Bilan!B10</f>
        <v>656.1</v>
      </c>
      <c r="C9" s="79">
        <f>Bilan!C10</f>
        <v>880.3</v>
      </c>
      <c r="D9" s="79">
        <f>Bilan!D10</f>
        <v>1021.7</v>
      </c>
    </row>
    <row r="10" spans="1:4" x14ac:dyDescent="0.2">
      <c r="A10" s="13" t="s">
        <v>1</v>
      </c>
      <c r="B10" s="84">
        <f>SUM(B7:B9)</f>
        <v>1729.4</v>
      </c>
      <c r="C10" s="85">
        <f>SUM(C7:C9)</f>
        <v>2348.1999999999998</v>
      </c>
      <c r="D10" s="84">
        <f>SUM(D7:D9)</f>
        <v>2412.3000000000002</v>
      </c>
    </row>
    <row r="11" spans="1:4" x14ac:dyDescent="0.2">
      <c r="A11" s="17"/>
      <c r="B11" s="82"/>
      <c r="C11" s="83"/>
      <c r="D11" s="82"/>
    </row>
    <row r="12" spans="1:4" x14ac:dyDescent="0.2">
      <c r="A12" s="17" t="s">
        <v>10</v>
      </c>
      <c r="B12" s="79"/>
      <c r="C12" s="80"/>
      <c r="D12" s="79"/>
    </row>
    <row r="13" spans="1:4" x14ac:dyDescent="0.2">
      <c r="A13" s="12" t="s">
        <v>11</v>
      </c>
      <c r="B13" s="79"/>
      <c r="C13" s="80"/>
      <c r="D13" s="79"/>
    </row>
    <row r="14" spans="1:4" x14ac:dyDescent="0.2">
      <c r="A14" s="13" t="s">
        <v>30</v>
      </c>
      <c r="B14" s="79">
        <f>Bilan!B21</f>
        <v>1190.9000000000001</v>
      </c>
      <c r="C14" s="79">
        <f>Bilan!C21</f>
        <v>1589.8</v>
      </c>
      <c r="D14" s="79">
        <f>Bilan!D21</f>
        <v>1621.5</v>
      </c>
    </row>
    <row r="15" spans="1:4" x14ac:dyDescent="0.2">
      <c r="A15" s="13" t="s">
        <v>31</v>
      </c>
      <c r="B15" s="79">
        <f>Bilan!B23</f>
        <v>1129.0999999999999</v>
      </c>
      <c r="C15" s="79">
        <f>Bilan!C23</f>
        <v>1346.1</v>
      </c>
      <c r="D15" s="79">
        <f>Bilan!D23</f>
        <v>1494.1000000000001</v>
      </c>
    </row>
    <row r="16" spans="1:4" x14ac:dyDescent="0.2">
      <c r="A16" s="18" t="s">
        <v>32</v>
      </c>
      <c r="B16" s="84">
        <f>SUM(B14:B15)</f>
        <v>2320</v>
      </c>
      <c r="C16" s="85">
        <f>SUM(C14:C15)</f>
        <v>2935.8999999999996</v>
      </c>
      <c r="D16" s="84">
        <f>SUM(D14:D15)</f>
        <v>3115.6000000000004</v>
      </c>
    </row>
    <row r="17" spans="1:4" x14ac:dyDescent="0.2">
      <c r="A17" s="13"/>
      <c r="B17" s="79"/>
      <c r="C17" s="80"/>
      <c r="D17" s="79"/>
    </row>
    <row r="18" spans="1:4" x14ac:dyDescent="0.2">
      <c r="A18" s="19" t="s">
        <v>7</v>
      </c>
      <c r="B18" s="88">
        <f>B10-B16</f>
        <v>-590.59999999999991</v>
      </c>
      <c r="C18" s="88">
        <f t="shared" ref="C18:D18" si="0">C10-C16</f>
        <v>-587.69999999999982</v>
      </c>
      <c r="D18" s="88">
        <f t="shared" si="0"/>
        <v>-703.30000000000018</v>
      </c>
    </row>
    <row r="19" spans="1:4" x14ac:dyDescent="0.2">
      <c r="B19" s="89"/>
      <c r="C19" s="89"/>
      <c r="D19" s="89"/>
    </row>
    <row r="20" spans="1:4" x14ac:dyDescent="0.2">
      <c r="B20" s="89"/>
      <c r="C20" s="89"/>
      <c r="D20" s="89"/>
    </row>
    <row r="21" spans="1:4" x14ac:dyDescent="0.2">
      <c r="A21" s="19" t="s">
        <v>46</v>
      </c>
      <c r="B21" s="88">
        <f>B18+Bilan!B13+Bilan!B14+Bilan!B15+Bilan!B16</f>
        <v>3132.1000000000004</v>
      </c>
      <c r="C21" s="88">
        <f>C18+Bilan!C13+Bilan!C14+Bilan!C15+Bilan!C16</f>
        <v>3893.3</v>
      </c>
      <c r="D21" s="88">
        <f>D18+Bilan!D13+Bilan!D14+Bilan!D15+Bilan!D16</f>
        <v>3796</v>
      </c>
    </row>
    <row r="22" spans="1:4" x14ac:dyDescent="0.2">
      <c r="A22" s="19" t="s">
        <v>47</v>
      </c>
      <c r="B22" s="90">
        <f>B21+Bilan!B7</f>
        <v>4024.7000000000003</v>
      </c>
      <c r="C22" s="90">
        <f>C21+Bilan!C7</f>
        <v>4468.9000000000005</v>
      </c>
      <c r="D22" s="90">
        <f>D21+Bilan!D7</f>
        <v>4433.3999999999996</v>
      </c>
    </row>
  </sheetData>
  <conditionalFormatting sqref="A1:A2">
    <cfRule type="duplicateValues" dxfId="1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0"/>
  <sheetViews>
    <sheetView zoomScale="260" zoomScaleNormal="260" workbookViewId="0">
      <selection activeCell="H40" sqref="H40"/>
    </sheetView>
  </sheetViews>
  <sheetFormatPr baseColWidth="10" defaultRowHeight="16" x14ac:dyDescent="0.2"/>
  <cols>
    <col min="1" max="1" width="32" customWidth="1"/>
  </cols>
  <sheetData>
    <row r="1" spans="1:9" ht="20" x14ac:dyDescent="0.25">
      <c r="A1" s="3" t="s">
        <v>85</v>
      </c>
      <c r="B1" s="20"/>
      <c r="C1" s="20"/>
      <c r="D1" s="20"/>
      <c r="E1" s="52" t="s">
        <v>84</v>
      </c>
      <c r="F1" s="52">
        <v>2023</v>
      </c>
      <c r="G1" s="20"/>
      <c r="H1" s="20"/>
      <c r="I1" s="20"/>
    </row>
    <row r="2" spans="1:9" x14ac:dyDescent="0.2">
      <c r="A2" s="2" t="s">
        <v>87</v>
      </c>
      <c r="B2" s="20"/>
      <c r="C2" s="20"/>
      <c r="D2" s="20"/>
      <c r="E2" s="20"/>
      <c r="F2" s="20"/>
      <c r="G2" s="20"/>
      <c r="H2" s="20"/>
      <c r="I2" s="20"/>
    </row>
    <row r="3" spans="1:9" x14ac:dyDescent="0.2">
      <c r="A3" s="1"/>
      <c r="B3" s="4">
        <v>2021</v>
      </c>
      <c r="C3" s="4">
        <v>2022</v>
      </c>
      <c r="D3" s="4">
        <v>2023</v>
      </c>
      <c r="E3" s="4" t="s">
        <v>79</v>
      </c>
      <c r="F3" s="4" t="s">
        <v>80</v>
      </c>
      <c r="G3" s="4" t="s">
        <v>81</v>
      </c>
      <c r="H3" s="4" t="s">
        <v>82</v>
      </c>
      <c r="I3" s="4" t="s">
        <v>83</v>
      </c>
    </row>
    <row r="4" spans="1:9" x14ac:dyDescent="0.2">
      <c r="A4" s="11" t="s">
        <v>48</v>
      </c>
      <c r="B4" s="21"/>
      <c r="C4" s="22"/>
      <c r="D4" s="21"/>
    </row>
    <row r="5" spans="1:9" x14ac:dyDescent="0.2">
      <c r="A5" s="12" t="s">
        <v>49</v>
      </c>
      <c r="B5" s="79" t="s">
        <v>2</v>
      </c>
      <c r="C5" s="91">
        <f>('Compte de résultat'!C5-'Compte de résultat'!B5)/'Compte de résultat'!B5</f>
        <v>0.18038792805496801</v>
      </c>
      <c r="D5" s="92">
        <f>('Compte de résultat'!D5-'Compte de résultat'!C5)/'Compte de résultat'!C5</f>
        <v>0.20800880758014076</v>
      </c>
      <c r="E5" s="53">
        <v>2.7E-2</v>
      </c>
      <c r="F5" s="53">
        <v>0.17299999999999999</v>
      </c>
      <c r="G5" s="54">
        <v>0.1</v>
      </c>
      <c r="H5" s="54">
        <v>0.109</v>
      </c>
      <c r="I5" s="54">
        <v>3.2000000000000001E-2</v>
      </c>
    </row>
    <row r="6" spans="1:9" x14ac:dyDescent="0.2">
      <c r="A6" s="12"/>
      <c r="B6" s="79"/>
      <c r="C6" s="80"/>
      <c r="D6" s="79"/>
    </row>
    <row r="7" spans="1:9" x14ac:dyDescent="0.2">
      <c r="A7" s="11" t="s">
        <v>50</v>
      </c>
      <c r="B7" s="84"/>
      <c r="C7" s="85"/>
      <c r="D7" s="84"/>
    </row>
    <row r="8" spans="1:9" x14ac:dyDescent="0.2">
      <c r="A8" s="12" t="s">
        <v>52</v>
      </c>
      <c r="B8" s="92">
        <f>'Compte de résultat'!B8/'Compte de résultat'!B5</f>
        <v>8.5396706897266778E-2</v>
      </c>
      <c r="C8" s="92">
        <f>'Compte de résultat'!C8/'Compte de résultat'!C5</f>
        <v>8.7326220119230316E-2</v>
      </c>
      <c r="D8" s="92">
        <f>'Compte de résultat'!D8/'Compte de résultat'!D5</f>
        <v>8.7676093890887333E-2</v>
      </c>
    </row>
    <row r="9" spans="1:9" x14ac:dyDescent="0.2">
      <c r="A9" s="12" t="s">
        <v>53</v>
      </c>
      <c r="B9" s="92">
        <f>'Compte de résultat'!B7/'Compte de résultat'!B5</f>
        <v>0.91460329310273325</v>
      </c>
      <c r="C9" s="92">
        <f>'Compte de résultat'!C7/'Compte de résultat'!C5</f>
        <v>0.9126737798807697</v>
      </c>
      <c r="D9" s="92">
        <f>'Compte de résultat'!D7/'Compte de résultat'!D5</f>
        <v>0.91232390610911263</v>
      </c>
    </row>
    <row r="10" spans="1:9" x14ac:dyDescent="0.2">
      <c r="A10" s="12" t="s">
        <v>51</v>
      </c>
      <c r="B10" s="92">
        <f>'Compte de résultat'!B20/'Compte de résultat'!B5</f>
        <v>0.16350766593394439</v>
      </c>
      <c r="C10" s="92">
        <f>'Compte de résultat'!C20/'Compte de résultat'!C5</f>
        <v>0.16255372975252105</v>
      </c>
      <c r="D10" s="92">
        <f>'Compte de résultat'!D20/'Compte de résultat'!D5</f>
        <v>0.16547250850777093</v>
      </c>
    </row>
    <row r="11" spans="1:9" x14ac:dyDescent="0.2">
      <c r="A11" s="12" t="s">
        <v>54</v>
      </c>
      <c r="B11" s="92">
        <f>'Compte de résultat'!B21/'Compte de résultat'!B5</f>
        <v>3.5668367135332418E-2</v>
      </c>
      <c r="C11" s="92">
        <f>'Compte de résultat'!C21/'Compte de résultat'!C5</f>
        <v>3.2431102938592894E-2</v>
      </c>
      <c r="D11" s="92">
        <f>'Compte de résultat'!D21/'Compte de résultat'!D5</f>
        <v>2.9096091757884839E-2</v>
      </c>
    </row>
    <row r="12" spans="1:9" x14ac:dyDescent="0.2">
      <c r="A12" s="12" t="s">
        <v>55</v>
      </c>
      <c r="B12" s="92">
        <f>'Compte de résultat'!B11/'Compte de résultat'!B5</f>
        <v>0.10046590076451965</v>
      </c>
      <c r="C12" s="92">
        <f>'Compte de résultat'!C11/'Compte de résultat'!C5</f>
        <v>9.3826495356109665E-2</v>
      </c>
      <c r="D12" s="92">
        <f>'Compte de résultat'!D11/'Compte de résultat'!D5</f>
        <v>8.3545825617358765E-2</v>
      </c>
      <c r="E12" s="53">
        <v>0.106</v>
      </c>
      <c r="F12" s="53">
        <v>9.1999999999999998E-2</v>
      </c>
      <c r="G12" s="54">
        <v>0.114</v>
      </c>
      <c r="H12" s="54">
        <v>9.7000000000000003E-2</v>
      </c>
      <c r="I12" s="54">
        <v>0.18</v>
      </c>
    </row>
    <row r="13" spans="1:9" x14ac:dyDescent="0.2">
      <c r="A13" s="12" t="s">
        <v>56</v>
      </c>
      <c r="B13" s="93">
        <f>'Compte de résultat'!B14/'Compte de résultat'!B5</f>
        <v>3.475592053419601E-2</v>
      </c>
      <c r="C13" s="93">
        <f>'Compte de résultat'!C14/'Compte de résultat'!C5</f>
        <v>3.5429428092901227E-2</v>
      </c>
      <c r="D13" s="92">
        <f>'Compte de résultat'!D14/'Compte de résultat'!D5</f>
        <v>3.3556005856061125E-2</v>
      </c>
    </row>
    <row r="14" spans="1:9" x14ac:dyDescent="0.2">
      <c r="A14" s="12" t="s">
        <v>86</v>
      </c>
      <c r="B14" s="93">
        <f>'Compte de résultat'!B22/'Compte de résultat'!B5</f>
        <v>6.7327499205065465E-3</v>
      </c>
      <c r="C14" s="92">
        <f>'Compte de résultat'!C22/'Compte de résultat'!C5</f>
        <v>7.8588913224253622E-3</v>
      </c>
      <c r="D14" s="92">
        <f>'Compte de résultat'!D22/'Compte de résultat'!D5</f>
        <v>1.0248106960374632E-2</v>
      </c>
    </row>
    <row r="15" spans="1:9" x14ac:dyDescent="0.2">
      <c r="A15" s="12" t="s">
        <v>57</v>
      </c>
      <c r="B15" s="92">
        <f>'Compte de résultat'!B16/'Compte de résultat'!B5</f>
        <v>1.8746630168802621E-2</v>
      </c>
      <c r="C15" s="92">
        <f>'Compte de résultat'!C16/'Compte de résultat'!C5</f>
        <v>2.0789168550380061E-2</v>
      </c>
      <c r="D15" s="92">
        <f>'Compte de résultat'!D16/'Compte de résultat'!D5</f>
        <v>1.5803608652233351E-2</v>
      </c>
      <c r="E15" s="50">
        <v>2.1000000000000001E-2</v>
      </c>
      <c r="F15" s="50">
        <v>2.8000000000000001E-2</v>
      </c>
      <c r="G15" s="50">
        <v>0.01</v>
      </c>
      <c r="H15" s="50">
        <v>8.0000000000000002E-3</v>
      </c>
      <c r="I15" s="50">
        <v>7.9000000000000001E-2</v>
      </c>
    </row>
    <row r="16" spans="1:9" x14ac:dyDescent="0.2">
      <c r="A16" s="15"/>
      <c r="B16" s="79"/>
      <c r="C16" s="80"/>
      <c r="D16" s="79"/>
    </row>
    <row r="17" spans="1:9" x14ac:dyDescent="0.2">
      <c r="A17" s="11" t="s">
        <v>59</v>
      </c>
      <c r="B17" s="84"/>
      <c r="C17" s="85"/>
      <c r="D17" s="84"/>
    </row>
    <row r="18" spans="1:9" x14ac:dyDescent="0.2">
      <c r="A18" s="12" t="s">
        <v>4</v>
      </c>
      <c r="B18" s="92">
        <f>'Compte de résultat'!B11/BFR!B21</f>
        <v>0.23201685769930716</v>
      </c>
      <c r="C18" s="92">
        <f>'Compte de résultat'!C11/BFR!C21</f>
        <v>0.20576374797729433</v>
      </c>
      <c r="D18" s="92">
        <f>'Compte de résultat'!D11/BFR!D21</f>
        <v>0.22700210748155955</v>
      </c>
    </row>
    <row r="19" spans="1:9" x14ac:dyDescent="0.2">
      <c r="A19" s="12" t="s">
        <v>3</v>
      </c>
      <c r="B19" s="92">
        <f>'Compte de résultat'!B14/BFR!B21</f>
        <v>8.0265636473931215E-2</v>
      </c>
      <c r="C19" s="92">
        <f>'Compte de résultat'!C14/BFR!C21</f>
        <v>7.7697583027251937E-2</v>
      </c>
      <c r="D19" s="92">
        <f>'Compte de résultat'!D14/BFR!D21</f>
        <v>9.117492096944152E-2</v>
      </c>
    </row>
    <row r="20" spans="1:9" x14ac:dyDescent="0.2">
      <c r="A20" s="12" t="s">
        <v>5</v>
      </c>
      <c r="B20" s="92">
        <f>'Compte de résultat'!B16/Bilan!B17</f>
        <v>2.1372168896874558E-2</v>
      </c>
      <c r="C20" s="92">
        <f>'Compte de résultat'!C16/Bilan!C17</f>
        <v>2.3970937770095076E-2</v>
      </c>
      <c r="D20" s="92">
        <f>'Compte de résultat'!D16/Bilan!D17</f>
        <v>2.1592263876010067E-2</v>
      </c>
      <c r="E20" s="50">
        <v>1.9E-2</v>
      </c>
      <c r="F20" s="50">
        <v>4.1000000000000002E-2</v>
      </c>
      <c r="G20" s="50">
        <v>0.01</v>
      </c>
      <c r="H20" s="50">
        <v>7.0000000000000001E-3</v>
      </c>
      <c r="I20" s="50">
        <v>5.5E-2</v>
      </c>
    </row>
    <row r="21" spans="1:9" x14ac:dyDescent="0.2">
      <c r="A21" s="12" t="s">
        <v>6</v>
      </c>
      <c r="B21" s="92">
        <f>'Compte de résultat'!B16/Bilan!B33</f>
        <v>6.6308068459657699E-2</v>
      </c>
      <c r="C21" s="92">
        <f>'Compte de résultat'!C16/Bilan!C33</f>
        <v>9.2496091714434597E-2</v>
      </c>
      <c r="D21" s="92">
        <f>'Compte de résultat'!D16/Bilan!D33</f>
        <v>8.2281675921251893E-2</v>
      </c>
      <c r="E21" s="50">
        <v>4.7E-2</v>
      </c>
      <c r="F21" s="50">
        <v>0.107</v>
      </c>
      <c r="G21" s="50">
        <v>0.06</v>
      </c>
      <c r="H21" s="50">
        <v>0.05</v>
      </c>
      <c r="I21" s="50">
        <v>0.25700000000000001</v>
      </c>
    </row>
    <row r="22" spans="1:9" x14ac:dyDescent="0.2">
      <c r="A22" s="12" t="s">
        <v>58</v>
      </c>
      <c r="B22" s="94">
        <f>'Compte de résultat'!B5/Bilan!B17</f>
        <v>1.1400539032578374</v>
      </c>
      <c r="C22" s="94">
        <f>'Compte de résultat'!C5/Bilan!C17</f>
        <v>1.1530493733794298</v>
      </c>
      <c r="D22" s="94">
        <f>'Compte de résultat'!D5/Bilan!D17</f>
        <v>1.3662869254205856</v>
      </c>
      <c r="E22" s="51">
        <v>0.88</v>
      </c>
      <c r="F22" s="51">
        <v>1.44</v>
      </c>
      <c r="G22" s="51">
        <v>1.01</v>
      </c>
      <c r="H22" s="51">
        <v>0.87</v>
      </c>
      <c r="I22" s="51">
        <v>0.7</v>
      </c>
    </row>
    <row r="23" spans="1:9" x14ac:dyDescent="0.2">
      <c r="A23" s="17"/>
      <c r="B23" s="82"/>
      <c r="C23" s="83"/>
      <c r="D23" s="82"/>
    </row>
    <row r="24" spans="1:9" x14ac:dyDescent="0.2">
      <c r="A24" s="11" t="s">
        <v>60</v>
      </c>
      <c r="B24" s="84"/>
      <c r="C24" s="85"/>
      <c r="D24" s="84"/>
    </row>
    <row r="25" spans="1:9" x14ac:dyDescent="0.2">
      <c r="A25" s="12" t="s">
        <v>71</v>
      </c>
      <c r="B25" s="94">
        <f>Bilan!B11/Bilan!B24</f>
        <v>0.93569338376989519</v>
      </c>
      <c r="C25" s="94">
        <f>Bilan!C11/Bilan!C24</f>
        <v>0.77019124387545446</v>
      </c>
      <c r="D25" s="94">
        <f>Bilan!D11/Bilan!D24</f>
        <v>0.69132248265856633</v>
      </c>
    </row>
    <row r="26" spans="1:9" x14ac:dyDescent="0.2">
      <c r="A26" s="12" t="s">
        <v>72</v>
      </c>
      <c r="B26" s="94">
        <f>(Bilan!B11-Bilan!B10)/Bilan!B24</f>
        <v>0.70155592034829783</v>
      </c>
      <c r="C26" s="94">
        <f>(Bilan!C11-Bilan!C10)/Bilan!C24</f>
        <v>0.53830145935409102</v>
      </c>
      <c r="D26" s="94">
        <f>(Bilan!D11-Bilan!D10)/Bilan!D24</f>
        <v>0.45971800335494389</v>
      </c>
    </row>
    <row r="27" spans="1:9" x14ac:dyDescent="0.2">
      <c r="A27" s="28"/>
      <c r="B27" s="95"/>
      <c r="C27" s="95"/>
      <c r="D27" s="95"/>
    </row>
    <row r="28" spans="1:9" x14ac:dyDescent="0.2">
      <c r="A28" s="29" t="s">
        <v>61</v>
      </c>
      <c r="B28" s="84"/>
      <c r="C28" s="84"/>
      <c r="D28" s="84"/>
    </row>
    <row r="29" spans="1:9" x14ac:dyDescent="0.2">
      <c r="A29" s="12" t="s">
        <v>67</v>
      </c>
      <c r="B29" s="96">
        <f>(BFR!B18/'Compte de résultat'!B5)*365</f>
        <v>-29.802303236420439</v>
      </c>
      <c r="C29" s="96">
        <f>(BFR!C18/'Compte de résultat'!C5)*365</f>
        <v>-25.12391515676789</v>
      </c>
      <c r="D29" s="96">
        <f>(BFR!D18/'Compte de résultat'!D5)*365</f>
        <v>-24.888696056854211</v>
      </c>
      <c r="E29" s="48">
        <f>(1/7.05)*365</f>
        <v>51.773049645390074</v>
      </c>
      <c r="F29" s="49">
        <f>(1/54.59)*365</f>
        <v>6.686206264883678</v>
      </c>
      <c r="G29" s="49">
        <v>-24</v>
      </c>
      <c r="H29" s="49">
        <v>-3</v>
      </c>
      <c r="I29" s="49">
        <v>-4</v>
      </c>
    </row>
    <row r="30" spans="1:9" x14ac:dyDescent="0.2">
      <c r="A30" s="12" t="s">
        <v>68</v>
      </c>
      <c r="B30" s="96">
        <f>(Bilan!B10/'Compte de résultat'!B7)*365</f>
        <v>36.198757482314527</v>
      </c>
      <c r="C30" s="96">
        <f>(((Bilan!B10+Bilan!C10)/2)/'Compte de résultat'!C7)*365</f>
        <v>35.982418992621113</v>
      </c>
      <c r="D30" s="96">
        <f>(((Bilan!C10+Bilan!D10)/2)/'Compte de résultat'!D7)*365</f>
        <v>36.888669259707967</v>
      </c>
    </row>
    <row r="31" spans="1:9" x14ac:dyDescent="0.2">
      <c r="A31" s="12" t="s">
        <v>69</v>
      </c>
      <c r="B31" s="96">
        <f>(Bilan!B8/'Compte de résultat'!B5)*365</f>
        <v>54.154811773326145</v>
      </c>
      <c r="C31" s="96">
        <f>(((Bilan!B8+Bilan!C8)/2)/'Compte de résultat'!C5)*365</f>
        <v>54.056815919232619</v>
      </c>
      <c r="D31" s="96">
        <f>(((Bilan!C8+Bilan!D8)/2)/'Compte de résultat'!D5)*365</f>
        <v>50.223286568871728</v>
      </c>
    </row>
    <row r="32" spans="1:9" x14ac:dyDescent="0.2">
      <c r="A32" s="12" t="s">
        <v>70</v>
      </c>
      <c r="B32" s="96">
        <f>(Bilan!B21/'Compte de résultat'!B7)*365</f>
        <v>65.70507588125038</v>
      </c>
      <c r="C32" s="96">
        <f>(((Bilan!B21+Bilan!C21)/2)/'Compte de résultat'!C7)*365</f>
        <v>65.123869104908565</v>
      </c>
      <c r="D32" s="96">
        <f>(((Bilan!C21+Bilan!D21)/2)/'Compte de résultat'!D7)*365</f>
        <v>62.282115454101053</v>
      </c>
    </row>
    <row r="33" spans="1:9" x14ac:dyDescent="0.2">
      <c r="A33" s="12"/>
      <c r="B33" s="96"/>
      <c r="C33" s="96"/>
      <c r="D33" s="96"/>
    </row>
    <row r="34" spans="1:9" x14ac:dyDescent="0.2">
      <c r="A34" s="29" t="s">
        <v>62</v>
      </c>
      <c r="B34" s="84"/>
      <c r="C34" s="84"/>
      <c r="D34" s="84"/>
    </row>
    <row r="35" spans="1:9" x14ac:dyDescent="0.2">
      <c r="A35" s="12" t="s">
        <v>66</v>
      </c>
      <c r="B35" s="92">
        <f>'Compte de résultat'!B22/(Bilan!B22+Bilan!B26)</f>
        <v>2.7585816245610059E-2</v>
      </c>
      <c r="C35" s="92">
        <f>'Compte de résultat'!C22/(Bilan!C22+Bilan!C26)</f>
        <v>2.9118208644332583E-2</v>
      </c>
      <c r="D35" s="92">
        <f>'Compte de résultat'!D22/(Bilan!D22+Bilan!D26)</f>
        <v>4.6549522173779015E-2</v>
      </c>
    </row>
    <row r="36" spans="1:9" x14ac:dyDescent="0.2">
      <c r="A36" s="12" t="s">
        <v>78</v>
      </c>
      <c r="B36" s="92">
        <f>(Bilan!B22+Bilan!B26)/Bilan!B17</f>
        <v>0.27824798650842436</v>
      </c>
      <c r="C36" s="92">
        <f>(Bilan!C22+Bilan!C26)/Bilan!C17</f>
        <v>0.31120354364736386</v>
      </c>
      <c r="D36" s="92">
        <f>(Bilan!D22+Bilan!D26)/Bilan!D17</f>
        <v>0.30079480725923963</v>
      </c>
    </row>
    <row r="37" spans="1:9" x14ac:dyDescent="0.2">
      <c r="A37" s="12" t="s">
        <v>64</v>
      </c>
      <c r="B37" s="92">
        <f>(Bilan!B26+Bilan!B22)/Bilan!B33</f>
        <v>0.863276283618582</v>
      </c>
      <c r="C37" s="92">
        <f>(Bilan!C26+Bilan!C22)/Bilan!C33</f>
        <v>1.2008337675872849</v>
      </c>
      <c r="D37" s="92">
        <f>(Bilan!D26+Bilan!D22)/Bilan!D33</f>
        <v>1.1462392730943967</v>
      </c>
    </row>
    <row r="38" spans="1:9" x14ac:dyDescent="0.2">
      <c r="A38" s="12" t="s">
        <v>65</v>
      </c>
      <c r="B38" s="92">
        <f>(Bilan!B22+Bilan!B26-Bilan!B7)/Bilan!B33</f>
        <v>0.42679706601466993</v>
      </c>
      <c r="C38" s="92">
        <f>(Bilan!C22+Bilan!C26-Bilan!C7)/Bilan!C33</f>
        <v>0.90088587806149023</v>
      </c>
      <c r="D38" s="92">
        <f>(Bilan!D22+Bilan!D26-Bilan!D7)/Bilan!D33</f>
        <v>0.82448258455325585</v>
      </c>
    </row>
    <row r="39" spans="1:9" ht="30" x14ac:dyDescent="0.2">
      <c r="A39" s="98" t="s">
        <v>88</v>
      </c>
      <c r="B39" s="94">
        <f>'Compte de résultat'!B14/'Compte de résultat'!B22</f>
        <v>5.1622176591375766</v>
      </c>
      <c r="C39" s="94">
        <f>'Compte de résultat'!C14/'Compte de résultat'!C22</f>
        <v>4.5081967213114762</v>
      </c>
      <c r="D39" s="94">
        <f>'Compte de résultat'!D14/'Compte de résultat'!D22</f>
        <v>3.274361400189215</v>
      </c>
    </row>
    <row r="40" spans="1:9" ht="30" x14ac:dyDescent="0.2">
      <c r="A40" s="46" t="s">
        <v>63</v>
      </c>
      <c r="B40" s="97">
        <f>(Bilan!B22+Bilan!B26-Bilan!B7)/'Compte de résultat'!B11</f>
        <v>1.2010458235860741</v>
      </c>
      <c r="C40" s="97">
        <f>(Bilan!C22+Bilan!C26-Bilan!C7)/'Compte de résultat'!C11</f>
        <v>2.1580327050305828</v>
      </c>
      <c r="D40" s="97">
        <f>(Bilan!D22+Bilan!D26-Bilan!D7)/'Compte de résultat'!D11</f>
        <v>1.8954392479981428</v>
      </c>
      <c r="E40" s="47">
        <v>1.7</v>
      </c>
      <c r="F40" s="47">
        <v>1.1000000000000001</v>
      </c>
      <c r="G40" s="47">
        <v>1.5</v>
      </c>
      <c r="H40" s="47">
        <v>2.7</v>
      </c>
      <c r="I40" s="47">
        <v>1.8</v>
      </c>
    </row>
  </sheetData>
  <conditionalFormatting sqref="A1:A2">
    <cfRule type="duplicateValues" dxfId="0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Compte de résultat</vt:lpstr>
      <vt:lpstr>Bilan</vt:lpstr>
      <vt:lpstr>BFR</vt:lpstr>
      <vt:lpstr>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Jerome Caby</dc:creator>
  <cp:lastModifiedBy>Jérôme Caby</cp:lastModifiedBy>
  <dcterms:created xsi:type="dcterms:W3CDTF">2019-02-15T17:32:20Z</dcterms:created>
  <dcterms:modified xsi:type="dcterms:W3CDTF">2025-06-07T15:10:43Z</dcterms:modified>
</cp:coreProperties>
</file>