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imelineCaches/timelineCache1.xml" ContentType="application/vnd.ms-excel.timelineCache+xml"/>
  <Override PartName="/xl/timelineCaches/timelineCache2.xml" ContentType="application/vnd.ms-excel.timeline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timelines/timeline1.xml" ContentType="application/vnd.ms-excel.timelin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3.xml" ContentType="application/vnd.openxmlformats-officedocument.drawing+xml"/>
  <Override PartName="/xl/slicers/slicer2.xml" ContentType="application/vnd.ms-excel.slicer+xml"/>
  <Override PartName="/xl/timelines/timeline2.xml" ContentType="application/vnd.ms-excel.timelin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ropbox/Aulas/EMEP/Excel/EMER/Solutions/"/>
    </mc:Choice>
  </mc:AlternateContent>
  <xr:revisionPtr revIDLastSave="0" documentId="13_ncr:1_{95677668-1A8A-3744-B17E-F35690290C6A}" xr6:coauthVersionLast="47" xr6:coauthVersionMax="47" xr10:uidLastSave="{00000000-0000-0000-0000-000000000000}"/>
  <bookViews>
    <workbookView xWindow="5000" yWindow="1420" windowWidth="31780" windowHeight="15440" activeTab="1" xr2:uid="{14B82778-1B33-1247-B9A5-C0B58F5B9258}"/>
  </bookViews>
  <sheets>
    <sheet name="catalogue" sheetId="6" r:id="rId1"/>
    <sheet name="Ventes" sheetId="1" r:id="rId2"/>
    <sheet name="Factures" sheetId="2" r:id="rId3"/>
    <sheet name="Transport" sheetId="4" r:id="rId4"/>
    <sheet name="Feuil3" sheetId="3" r:id="rId5"/>
    <sheet name="JourFériés" sheetId="5" r:id="rId6"/>
    <sheet name="Recherches" sheetId="7" r:id="rId7"/>
    <sheet name="TCD ventes" sheetId="12" r:id="rId8"/>
    <sheet name="TCD Livraisons" sheetId="9" r:id="rId9"/>
    <sheet name="TCD Décaler" sheetId="10" r:id="rId10"/>
    <sheet name="Ventes (copie)" sheetId="11" r:id="rId11"/>
    <sheet name="formule decaler" sheetId="8" r:id="rId12"/>
  </sheets>
  <externalReferences>
    <externalReference r:id="rId13"/>
  </externalReferences>
  <definedNames>
    <definedName name="ChronologieNative_Date_Livraison">#N/A</definedName>
    <definedName name="ChronologieNative_Date_Livraison1">#N/A</definedName>
    <definedName name="DonnéesExternes_1" localSheetId="0" hidden="1">'catalogue'!$A$1:$C$16</definedName>
    <definedName name="Facture">Factures!$A$1:$N$14</definedName>
    <definedName name="Factures">Factures!$A$1:$N$14</definedName>
    <definedName name="JoursFeries">JourFériés!$A:$A</definedName>
    <definedName name="NumDept">Transport!$C:$C</definedName>
    <definedName name="PlageDyn">OFFSET('Ventes (copie)'!$A$1,4,0,COUNTA('Ventes (copie)'!$D:$D),COUNTA('Ventes (copie)'!$5:$5))</definedName>
    <definedName name="Segment_Description">#N/A</definedName>
    <definedName name="Segment_Description1">#N/A</definedName>
    <definedName name="Transporteur">Transport!$A:$A</definedName>
    <definedName name="TVA">Ventes!$B$1</definedName>
    <definedName name="TVAcopie">'Ventes (copie)'!$B$1</definedName>
    <definedName name="Ventes">Ventes!$A$5:$I$31</definedName>
    <definedName name="ZoneRechFactures">Recherches!$A$11:$N$12</definedName>
    <definedName name="ZoneRechVentes">Recherches!$A$2:$I$3</definedName>
  </definedNames>
  <calcPr calcId="191029"/>
  <pivotCaches>
    <pivotCache cacheId="25" r:id="rId14"/>
    <pivotCache cacheId="1" r:id="rId15"/>
  </pivotCaches>
  <extLst>
    <ext xmlns:x14="http://schemas.microsoft.com/office/spreadsheetml/2009/9/main" uri="{BBE1A952-AA13-448e-AADC-164F8A28A991}">
      <x14:slicerCaches>
        <x14:slicerCache r:id="rId16"/>
        <x14:slicerCache r:id="rId17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D0CA8CA8-9F24-4464-BF8E-62219DCF47F9}">
      <x15:timelineCacheRefs>
        <x15:timelineCacheRef r:id="rId18"/>
        <x15:timelineCacheRef r:id="rId19"/>
      </x15:timelineCacheRef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7" l="1"/>
  <c r="F15" i="7"/>
  <c r="D16" i="7"/>
  <c r="D15" i="7"/>
  <c r="B15" i="7"/>
  <c r="H6" i="7"/>
  <c r="H5" i="7"/>
  <c r="F6" i="7"/>
  <c r="F5" i="7"/>
  <c r="D6" i="7"/>
  <c r="D5" i="7"/>
  <c r="B5" i="7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6" i="11"/>
  <c r="J7" i="11"/>
  <c r="J8" i="11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6" i="11"/>
  <c r="N3" i="2"/>
  <c r="N4" i="2"/>
  <c r="N5" i="2"/>
  <c r="N6" i="2"/>
  <c r="N7" i="2"/>
  <c r="N8" i="2"/>
  <c r="N9" i="2"/>
  <c r="N10" i="2"/>
  <c r="N11" i="2"/>
  <c r="N12" i="2"/>
  <c r="N13" i="2"/>
  <c r="N14" i="2"/>
  <c r="N2" i="2"/>
  <c r="P3" i="2"/>
  <c r="Q3" i="2" s="1"/>
  <c r="P4" i="2"/>
  <c r="Q4" i="2" s="1"/>
  <c r="P5" i="2"/>
  <c r="Q5" i="2" s="1"/>
  <c r="P6" i="2"/>
  <c r="Q6" i="2" s="1"/>
  <c r="P7" i="2"/>
  <c r="Q7" i="2" s="1"/>
  <c r="P8" i="2"/>
  <c r="Q8" i="2" s="1"/>
  <c r="P9" i="2"/>
  <c r="Q9" i="2" s="1"/>
  <c r="P10" i="2"/>
  <c r="Q10" i="2" s="1"/>
  <c r="P11" i="2"/>
  <c r="Q11" i="2" s="1"/>
  <c r="P12" i="2"/>
  <c r="Q12" i="2" s="1"/>
  <c r="P13" i="2"/>
  <c r="Q13" i="2" s="1"/>
  <c r="P14" i="2"/>
  <c r="Q14" i="2" s="1"/>
  <c r="Q2" i="2"/>
  <c r="P2" i="2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6" i="11" l="1"/>
  <c r="I8" i="11"/>
  <c r="I10" i="11"/>
  <c r="I11" i="11"/>
  <c r="I12" i="11"/>
  <c r="I13" i="11"/>
  <c r="I14" i="11"/>
  <c r="I16" i="11"/>
  <c r="I17" i="11"/>
  <c r="I18" i="11"/>
  <c r="I19" i="11"/>
  <c r="I20" i="11"/>
  <c r="I21" i="11"/>
  <c r="I22" i="11"/>
  <c r="I24" i="11"/>
  <c r="I25" i="11"/>
  <c r="I26" i="11"/>
  <c r="I27" i="11"/>
  <c r="I28" i="11"/>
  <c r="I29" i="11"/>
  <c r="I30" i="11"/>
  <c r="I31" i="11"/>
  <c r="B31" i="11"/>
  <c r="B30" i="11"/>
  <c r="B29" i="11"/>
  <c r="B28" i="11"/>
  <c r="B27" i="11"/>
  <c r="B26" i="11"/>
  <c r="B25" i="11"/>
  <c r="B24" i="11"/>
  <c r="I23" i="11"/>
  <c r="B23" i="11"/>
  <c r="B22" i="11"/>
  <c r="B21" i="11"/>
  <c r="B20" i="11"/>
  <c r="B19" i="11"/>
  <c r="B18" i="11"/>
  <c r="B17" i="11"/>
  <c r="B16" i="11"/>
  <c r="I15" i="11"/>
  <c r="B15" i="11"/>
  <c r="B14" i="11"/>
  <c r="B13" i="11"/>
  <c r="B12" i="11"/>
  <c r="B11" i="11"/>
  <c r="B10" i="11"/>
  <c r="I9" i="11"/>
  <c r="B9" i="11"/>
  <c r="B8" i="11"/>
  <c r="I7" i="11"/>
  <c r="B7" i="11"/>
  <c r="B6" i="11"/>
  <c r="L7" i="1" l="1"/>
  <c r="M7" i="1"/>
  <c r="L8" i="1"/>
  <c r="M8" i="1"/>
  <c r="L9" i="1"/>
  <c r="M9" i="1"/>
  <c r="L10" i="1"/>
  <c r="M10" i="1"/>
  <c r="L11" i="1"/>
  <c r="M11" i="1"/>
  <c r="L12" i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19" i="1"/>
  <c r="M19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7" i="1"/>
  <c r="M27" i="1"/>
  <c r="L28" i="1"/>
  <c r="M28" i="1"/>
  <c r="L29" i="1"/>
  <c r="M29" i="1"/>
  <c r="L30" i="1"/>
  <c r="M30" i="1"/>
  <c r="L31" i="1"/>
  <c r="M31" i="1"/>
  <c r="L6" i="1"/>
  <c r="M6" i="1"/>
  <c r="S6" i="1" l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M3" i="2" l="1"/>
  <c r="M4" i="2"/>
  <c r="M5" i="2"/>
  <c r="M6" i="2"/>
  <c r="O14" i="1" s="1"/>
  <c r="M7" i="2"/>
  <c r="M8" i="2"/>
  <c r="M9" i="2"/>
  <c r="M10" i="2"/>
  <c r="M11" i="2"/>
  <c r="M12" i="2"/>
  <c r="O26" i="1" s="1"/>
  <c r="M13" i="2"/>
  <c r="M14" i="2"/>
  <c r="M2" i="2"/>
  <c r="N19" i="1" l="1"/>
  <c r="N21" i="1"/>
  <c r="N23" i="1"/>
  <c r="N20" i="1"/>
  <c r="N22" i="1"/>
  <c r="N9" i="1"/>
  <c r="N17" i="1"/>
  <c r="N16" i="1"/>
  <c r="N18" i="1"/>
  <c r="O29" i="1"/>
  <c r="O30" i="1"/>
  <c r="O28" i="1"/>
  <c r="O25" i="1"/>
  <c r="O24" i="1"/>
  <c r="O20" i="11" a="1"/>
  <c r="O20" i="11" s="1"/>
  <c r="N15" i="1"/>
  <c r="O19" i="1"/>
  <c r="O14" i="11" a="1"/>
  <c r="O14" i="11" s="1"/>
  <c r="N14" i="1"/>
  <c r="O18" i="11" a="1"/>
  <c r="O18" i="11" s="1"/>
  <c r="O6" i="11" a="1"/>
  <c r="O6" i="11" s="1"/>
  <c r="N6" i="1"/>
  <c r="N11" i="1"/>
  <c r="N13" i="1"/>
  <c r="N10" i="1"/>
  <c r="N12" i="1"/>
  <c r="O15" i="1"/>
  <c r="O28" i="11" a="1"/>
  <c r="O28" i="11" s="1"/>
  <c r="O30" i="11" a="1"/>
  <c r="O30" i="11" s="1"/>
  <c r="O29" i="11" a="1"/>
  <c r="O29" i="11" s="1"/>
  <c r="N29" i="1"/>
  <c r="N28" i="1"/>
  <c r="N30" i="1"/>
  <c r="N27" i="1"/>
  <c r="N31" i="1"/>
  <c r="N7" i="1"/>
  <c r="N8" i="1"/>
  <c r="O12" i="11" a="1"/>
  <c r="O12" i="11" s="1"/>
  <c r="O26" i="11" a="1"/>
  <c r="O26" i="11" s="1"/>
  <c r="N26" i="1"/>
  <c r="O9" i="1"/>
  <c r="O25" i="11" a="1"/>
  <c r="O25" i="11" s="1"/>
  <c r="O24" i="11" a="1"/>
  <c r="O24" i="11" s="1"/>
  <c r="N25" i="1"/>
  <c r="N24" i="1"/>
  <c r="O31" i="11" a="1"/>
  <c r="O31" i="11" s="1"/>
  <c r="O7" i="11" a="1"/>
  <c r="O7" i="11" s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6" i="1"/>
  <c r="Y3" i="2"/>
  <c r="Y4" i="2"/>
  <c r="Y7" i="2"/>
  <c r="Y9" i="2"/>
  <c r="Y11" i="2"/>
  <c r="Y12" i="2"/>
  <c r="Y13" i="2"/>
  <c r="Y14" i="2"/>
  <c r="Y2" i="2"/>
  <c r="K3" i="2"/>
  <c r="K4" i="2"/>
  <c r="K7" i="2"/>
  <c r="K9" i="2"/>
  <c r="K11" i="2"/>
  <c r="K12" i="2"/>
  <c r="K13" i="2"/>
  <c r="K14" i="2"/>
  <c r="K2" i="2"/>
  <c r="U2" i="2"/>
  <c r="U3" i="2"/>
  <c r="U4" i="2"/>
  <c r="U5" i="2"/>
  <c r="U6" i="2"/>
  <c r="U7" i="2"/>
  <c r="U8" i="2"/>
  <c r="U9" i="2"/>
  <c r="U10" i="2"/>
  <c r="U11" i="2"/>
  <c r="U12" i="2"/>
  <c r="U13" i="2"/>
  <c r="U14" i="2"/>
  <c r="T2" i="2"/>
  <c r="S2" i="2"/>
  <c r="T3" i="2"/>
  <c r="T4" i="2"/>
  <c r="T5" i="2"/>
  <c r="T6" i="2"/>
  <c r="T7" i="2"/>
  <c r="T8" i="2"/>
  <c r="T9" i="2"/>
  <c r="T10" i="2"/>
  <c r="T11" i="2"/>
  <c r="T12" i="2"/>
  <c r="T13" i="2"/>
  <c r="T14" i="2"/>
  <c r="S3" i="2"/>
  <c r="S4" i="2"/>
  <c r="S5" i="2"/>
  <c r="S6" i="2"/>
  <c r="S7" i="2"/>
  <c r="S8" i="2"/>
  <c r="S9" i="2"/>
  <c r="S10" i="2"/>
  <c r="S11" i="2"/>
  <c r="S12" i="2"/>
  <c r="S13" i="2"/>
  <c r="S14" i="2"/>
  <c r="O27" i="11" l="1" a="1"/>
  <c r="O27" i="11" s="1"/>
  <c r="O23" i="11" a="1"/>
  <c r="O23" i="11" s="1"/>
  <c r="O21" i="11" a="1"/>
  <c r="O21" i="11" s="1"/>
  <c r="O16" i="1"/>
  <c r="O17" i="1"/>
  <c r="O18" i="1"/>
  <c r="O11" i="1"/>
  <c r="O13" i="1"/>
  <c r="O10" i="1"/>
  <c r="O12" i="1"/>
  <c r="O13" i="11" a="1"/>
  <c r="O13" i="11" s="1"/>
  <c r="O27" i="1"/>
  <c r="O31" i="1"/>
  <c r="O10" i="11" a="1"/>
  <c r="O10" i="11" s="1"/>
  <c r="O15" i="11" a="1"/>
  <c r="O15" i="11" s="1"/>
  <c r="O16" i="11" a="1"/>
  <c r="O16" i="11" s="1"/>
  <c r="O11" i="11" a="1"/>
  <c r="O11" i="11" s="1"/>
  <c r="O22" i="1"/>
  <c r="O21" i="1"/>
  <c r="O23" i="1"/>
  <c r="O20" i="1"/>
  <c r="O17" i="11" a="1"/>
  <c r="O17" i="11" s="1"/>
  <c r="O22" i="11" a="1"/>
  <c r="O22" i="11" s="1"/>
  <c r="O7" i="1"/>
  <c r="O8" i="1"/>
  <c r="O8" i="11" a="1"/>
  <c r="O8" i="11" s="1"/>
  <c r="O6" i="1"/>
  <c r="O9" i="11" a="1"/>
  <c r="O9" i="11" s="1"/>
  <c r="O19" i="11" a="1"/>
  <c r="O19" i="11" s="1"/>
  <c r="E3" i="2"/>
  <c r="E4" i="2"/>
  <c r="E5" i="2"/>
  <c r="E6" i="2"/>
  <c r="E7" i="2"/>
  <c r="E8" i="2"/>
  <c r="E9" i="2"/>
  <c r="E10" i="2"/>
  <c r="E11" i="2"/>
  <c r="E12" i="2"/>
  <c r="E13" i="2"/>
  <c r="E14" i="2"/>
  <c r="E2" i="2"/>
  <c r="C3" i="2"/>
  <c r="C4" i="2"/>
  <c r="C5" i="2"/>
  <c r="C6" i="2"/>
  <c r="C7" i="2"/>
  <c r="C8" i="2"/>
  <c r="C9" i="2"/>
  <c r="C10" i="2"/>
  <c r="C11" i="2"/>
  <c r="C12" i="2"/>
  <c r="C13" i="2"/>
  <c r="C14" i="2"/>
  <c r="C2" i="2"/>
  <c r="E3" i="3"/>
  <c r="E4" i="3"/>
  <c r="E5" i="3"/>
  <c r="E6" i="3"/>
  <c r="E7" i="3"/>
  <c r="E8" i="3"/>
  <c r="E9" i="3"/>
  <c r="E10" i="3"/>
  <c r="E11" i="3"/>
  <c r="E12" i="3"/>
  <c r="E13" i="3"/>
  <c r="E14" i="3"/>
  <c r="E2" i="3"/>
  <c r="I6" i="3"/>
  <c r="H6" i="3"/>
  <c r="D3" i="3"/>
  <c r="D4" i="3"/>
  <c r="D5" i="3"/>
  <c r="D6" i="3"/>
  <c r="D7" i="3"/>
  <c r="D8" i="3"/>
  <c r="D9" i="3"/>
  <c r="D10" i="3"/>
  <c r="D11" i="3"/>
  <c r="D12" i="3"/>
  <c r="D13" i="3"/>
  <c r="D14" i="3"/>
  <c r="D2" i="3"/>
  <c r="J18" i="1" l="1"/>
  <c r="J16" i="1"/>
  <c r="J17" i="1"/>
  <c r="C17" i="11"/>
  <c r="C18" i="11"/>
  <c r="K18" i="11"/>
  <c r="K16" i="11"/>
  <c r="C16" i="11"/>
  <c r="K17" i="11"/>
  <c r="L25" i="11" a="1"/>
  <c r="L25" i="11" s="1"/>
  <c r="L24" i="11" a="1"/>
  <c r="L24" i="11" s="1"/>
  <c r="K25" i="1"/>
  <c r="K24" i="1"/>
  <c r="J15" i="1"/>
  <c r="K15" i="11"/>
  <c r="C15" i="11"/>
  <c r="L22" i="11" a="1"/>
  <c r="L22" i="11" s="1"/>
  <c r="L21" i="11" a="1"/>
  <c r="L21" i="11" s="1"/>
  <c r="L23" i="11" a="1"/>
  <c r="L23" i="11" s="1"/>
  <c r="L20" i="11" a="1"/>
  <c r="L20" i="11" s="1"/>
  <c r="K21" i="1"/>
  <c r="K23" i="1"/>
  <c r="K20" i="1"/>
  <c r="K22" i="1"/>
  <c r="J28" i="1"/>
  <c r="J29" i="1"/>
  <c r="J30" i="1"/>
  <c r="C28" i="11"/>
  <c r="K29" i="11"/>
  <c r="K28" i="11"/>
  <c r="C29" i="11"/>
  <c r="C30" i="11"/>
  <c r="K30" i="11"/>
  <c r="J14" i="1"/>
  <c r="K14" i="11"/>
  <c r="C14" i="11"/>
  <c r="L19" i="11" a="1"/>
  <c r="L19" i="11" s="1"/>
  <c r="K19" i="1"/>
  <c r="J13" i="1"/>
  <c r="J10" i="1"/>
  <c r="J11" i="1"/>
  <c r="J12" i="1"/>
  <c r="K12" i="11"/>
  <c r="C10" i="11"/>
  <c r="C11" i="11"/>
  <c r="K13" i="11"/>
  <c r="K11" i="11"/>
  <c r="C12" i="11"/>
  <c r="K10" i="11"/>
  <c r="C13" i="11"/>
  <c r="L18" i="11" a="1"/>
  <c r="L18" i="11" s="1"/>
  <c r="L16" i="11" a="1"/>
  <c r="L16" i="11" s="1"/>
  <c r="L17" i="11" a="1"/>
  <c r="L17" i="11" s="1"/>
  <c r="K17" i="1"/>
  <c r="K16" i="1"/>
  <c r="K18" i="1"/>
  <c r="J9" i="1"/>
  <c r="C9" i="11"/>
  <c r="K9" i="11"/>
  <c r="L15" i="11" a="1"/>
  <c r="L15" i="11" s="1"/>
  <c r="K15" i="1"/>
  <c r="J7" i="1"/>
  <c r="J8" i="1"/>
  <c r="C7" i="11"/>
  <c r="C8" i="11"/>
  <c r="K8" i="11"/>
  <c r="K7" i="11"/>
  <c r="L14" i="11" a="1"/>
  <c r="L14" i="11" s="1"/>
  <c r="K14" i="1"/>
  <c r="J27" i="1"/>
  <c r="J31" i="1"/>
  <c r="C27" i="11"/>
  <c r="K31" i="11"/>
  <c r="C31" i="11"/>
  <c r="K27" i="11"/>
  <c r="J26" i="1"/>
  <c r="K26" i="11"/>
  <c r="C26" i="11"/>
  <c r="L6" i="11" a="1"/>
  <c r="L6" i="11" s="1"/>
  <c r="K6" i="1"/>
  <c r="L12" i="11" a="1"/>
  <c r="L12" i="11" s="1"/>
  <c r="L11" i="11" a="1"/>
  <c r="L11" i="11" s="1"/>
  <c r="L13" i="11" a="1"/>
  <c r="L13" i="11" s="1"/>
  <c r="L10" i="11" a="1"/>
  <c r="L10" i="11" s="1"/>
  <c r="K11" i="1"/>
  <c r="K13" i="1"/>
  <c r="K10" i="1"/>
  <c r="K12" i="1"/>
  <c r="J25" i="1"/>
  <c r="J24" i="1"/>
  <c r="K25" i="11"/>
  <c r="C24" i="11"/>
  <c r="C25" i="11"/>
  <c r="K24" i="11"/>
  <c r="L28" i="11" a="1"/>
  <c r="L28" i="11" s="1"/>
  <c r="L29" i="11" a="1"/>
  <c r="L29" i="11" s="1"/>
  <c r="L30" i="11" a="1"/>
  <c r="L30" i="11" s="1"/>
  <c r="K29" i="1"/>
  <c r="K28" i="1"/>
  <c r="K30" i="1"/>
  <c r="L9" i="11" a="1"/>
  <c r="L9" i="11" s="1"/>
  <c r="K9" i="1"/>
  <c r="J6" i="1"/>
  <c r="C6" i="11"/>
  <c r="K6" i="11"/>
  <c r="J23" i="1"/>
  <c r="J22" i="1"/>
  <c r="J20" i="1"/>
  <c r="J21" i="1"/>
  <c r="K22" i="11"/>
  <c r="C20" i="11"/>
  <c r="C21" i="11"/>
  <c r="K23" i="11"/>
  <c r="C22" i="11"/>
  <c r="K20" i="11"/>
  <c r="C23" i="11"/>
  <c r="K21" i="11"/>
  <c r="L27" i="11" a="1"/>
  <c r="L27" i="11" s="1"/>
  <c r="L31" i="11" a="1"/>
  <c r="L31" i="11" s="1"/>
  <c r="K27" i="1"/>
  <c r="K31" i="1"/>
  <c r="L8" i="11" a="1"/>
  <c r="L8" i="11" s="1"/>
  <c r="K7" i="1"/>
  <c r="L7" i="11" a="1"/>
  <c r="L7" i="11" s="1"/>
  <c r="K8" i="1"/>
  <c r="J19" i="1"/>
  <c r="C19" i="11"/>
  <c r="K19" i="11"/>
  <c r="L26" i="11" a="1"/>
  <c r="L26" i="11" s="1"/>
  <c r="K26" i="1"/>
  <c r="H27" i="1"/>
  <c r="H28" i="1"/>
  <c r="H29" i="1"/>
  <c r="H30" i="1"/>
  <c r="H31" i="1"/>
  <c r="H7" i="1"/>
  <c r="H8" i="1"/>
  <c r="H9" i="1"/>
  <c r="J4" i="2" s="1"/>
  <c r="H10" i="1"/>
  <c r="H11" i="1"/>
  <c r="H12" i="1"/>
  <c r="H13" i="1"/>
  <c r="H14" i="1"/>
  <c r="J6" i="2" s="1"/>
  <c r="H15" i="1"/>
  <c r="J7" i="2" s="1"/>
  <c r="H16" i="1"/>
  <c r="H17" i="1"/>
  <c r="H18" i="1"/>
  <c r="H19" i="1"/>
  <c r="J9" i="2" s="1"/>
  <c r="H20" i="1"/>
  <c r="H21" i="1"/>
  <c r="H22" i="1"/>
  <c r="H23" i="1"/>
  <c r="H24" i="1"/>
  <c r="H25" i="1"/>
  <c r="H26" i="1"/>
  <c r="J12" i="2" s="1"/>
  <c r="H6" i="1"/>
  <c r="J2" i="2" s="1"/>
  <c r="A3" i="8" l="1" a="1"/>
  <c r="A3" i="8" s="1"/>
  <c r="J14" i="2"/>
  <c r="Z14" i="2" s="1"/>
  <c r="J13" i="2"/>
  <c r="Z13" i="2" s="1"/>
  <c r="J3" i="2"/>
  <c r="Z3" i="2" s="1"/>
  <c r="J8" i="2"/>
  <c r="K8" i="2" s="1"/>
  <c r="J10" i="2"/>
  <c r="Y10" i="2" s="1"/>
  <c r="Z10" i="2" s="1"/>
  <c r="J5" i="2"/>
  <c r="K5" i="2" s="1"/>
  <c r="K10" i="2"/>
  <c r="J11" i="2"/>
  <c r="W2" i="2"/>
  <c r="Z2" i="2"/>
  <c r="L2" i="2"/>
  <c r="W9" i="2"/>
  <c r="Z9" i="2"/>
  <c r="L9" i="2"/>
  <c r="Z4" i="2"/>
  <c r="L4" i="2"/>
  <c r="W4" i="2"/>
  <c r="W12" i="2"/>
  <c r="Z12" i="2"/>
  <c r="L12" i="2"/>
  <c r="Y5" i="2"/>
  <c r="Z5" i="2" s="1"/>
  <c r="W7" i="2"/>
  <c r="L7" i="2"/>
  <c r="Z7" i="2"/>
  <c r="K6" i="2"/>
  <c r="Y6" i="2"/>
  <c r="Z6" i="2" s="1"/>
  <c r="L14" i="2" l="1"/>
  <c r="W14" i="2"/>
  <c r="L13" i="2"/>
  <c r="W13" i="2"/>
  <c r="Y8" i="2"/>
  <c r="Z8" i="2" s="1"/>
  <c r="W3" i="2"/>
  <c r="L3" i="2"/>
  <c r="L8" i="2"/>
  <c r="W8" i="2"/>
  <c r="L5" i="2"/>
  <c r="W5" i="2"/>
  <c r="L6" i="2"/>
  <c r="W6" i="2"/>
  <c r="Z11" i="2"/>
  <c r="L11" i="2"/>
  <c r="W11" i="2"/>
  <c r="L10" i="2"/>
  <c r="W10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66C645E-C076-2347-93FA-E338DEA09FAC}" keepAlive="1" name="Requête - catalogue" description="Connexion à la requête « catalogue » dans le classeur." type="5" refreshedVersion="8" background="1" saveData="1">
    <dbPr connection="Provider=Microsoft.Mashup.OleDb.1;Data Source=$Workbook$;Location=catalogue;Extended Properties=&quot;&quot;" command="SELECT * FROM [catalogue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<sst xmlns="http://schemas.openxmlformats.org/spreadsheetml/2006/main" count="726" uniqueCount="325">
  <si>
    <t>N° Facture</t>
  </si>
  <si>
    <t>Date</t>
  </si>
  <si>
    <t>Produit</t>
  </si>
  <si>
    <t>Description</t>
  </si>
  <si>
    <t>Prix Unit</t>
  </si>
  <si>
    <t>Quantité</t>
  </si>
  <si>
    <t>Prix HT</t>
  </si>
  <si>
    <t>TVA</t>
  </si>
  <si>
    <t>Prix TTC</t>
  </si>
  <si>
    <t>Date Livraison</t>
  </si>
  <si>
    <t>adresse</t>
  </si>
  <si>
    <t>téléphone</t>
  </si>
  <si>
    <t>ville</t>
  </si>
  <si>
    <t>FA-2008-0001</t>
  </si>
  <si>
    <t>FA-2008-0002</t>
  </si>
  <si>
    <t>FA-2008-0003</t>
  </si>
  <si>
    <t>FA-2008-0004</t>
  </si>
  <si>
    <t>FA-2008-0005</t>
  </si>
  <si>
    <t>FA-2008-0006</t>
  </si>
  <si>
    <t>FA-2008-0007</t>
  </si>
  <si>
    <t>FA-2008-0008</t>
  </si>
  <si>
    <t>FA-2008-0009</t>
  </si>
  <si>
    <t>FA-2008-0010</t>
  </si>
  <si>
    <t>FA-2008-0011</t>
  </si>
  <si>
    <t>Code postal</t>
  </si>
  <si>
    <t>07 55 74 60 43</t>
  </si>
  <si>
    <t>03 81 82 85 17</t>
  </si>
  <si>
    <t>09 78 47 37 74</t>
  </si>
  <si>
    <t>04 96 53 56 47</t>
  </si>
  <si>
    <t>01 42 71 31 24</t>
  </si>
  <si>
    <t>04 71 55 40 56</t>
  </si>
  <si>
    <t>09 40 38 62 48</t>
  </si>
  <si>
    <t>06 47 68 49 69</t>
  </si>
  <si>
    <t>06 50 71 34 67</t>
  </si>
  <si>
    <t>06 39 29 45 40</t>
  </si>
  <si>
    <t>89300</t>
  </si>
  <si>
    <t>St Aubin sur Yonne</t>
  </si>
  <si>
    <t>22 rondpoint de la Défense</t>
  </si>
  <si>
    <t>53400</t>
  </si>
  <si>
    <t>St Quentin les Anges</t>
  </si>
  <si>
    <t>49 boulevard de la Paix</t>
  </si>
  <si>
    <t>92500</t>
  </si>
  <si>
    <t>Rueil Malmaison</t>
  </si>
  <si>
    <t>57 rue Pasteur</t>
  </si>
  <si>
    <t>23400</t>
  </si>
  <si>
    <t>Auriat</t>
  </si>
  <si>
    <t>10 rue Gambetta</t>
  </si>
  <si>
    <t>64410</t>
  </si>
  <si>
    <t>Arget</t>
  </si>
  <si>
    <t>15 rue de Taissy</t>
  </si>
  <si>
    <t>55400</t>
  </si>
  <si>
    <t>Braquis</t>
  </si>
  <si>
    <t>40 avenue de Paris</t>
  </si>
  <si>
    <t>52400</t>
  </si>
  <si>
    <t>Aigremont</t>
  </si>
  <si>
    <t>5 impasse des Belges</t>
  </si>
  <si>
    <t>04210</t>
  </si>
  <si>
    <t>Brunet</t>
  </si>
  <si>
    <t>12 rue de Tinqueux</t>
  </si>
  <si>
    <t>59700</t>
  </si>
  <si>
    <t>Marq-en-Bareouil</t>
  </si>
  <si>
    <t>9 rue de Venise</t>
  </si>
  <si>
    <t>P1176</t>
  </si>
  <si>
    <t>P3026</t>
  </si>
  <si>
    <t>P3081</t>
  </si>
  <si>
    <t>P3108</t>
  </si>
  <si>
    <t>P5026</t>
  </si>
  <si>
    <t>P5665</t>
  </si>
  <si>
    <t>P5875</t>
  </si>
  <si>
    <t>P6953</t>
  </si>
  <si>
    <t>P7910</t>
  </si>
  <si>
    <t>P9167</t>
  </si>
  <si>
    <t>P9287</t>
  </si>
  <si>
    <t>Table</t>
  </si>
  <si>
    <t>Ensemble jardin</t>
  </si>
  <si>
    <t>Porte tablette</t>
  </si>
  <si>
    <t>Dessous verre</t>
  </si>
  <si>
    <t>Ensemble table</t>
  </si>
  <si>
    <t>Vase</t>
  </si>
  <si>
    <t>Table basse</t>
  </si>
  <si>
    <t>Tabouret</t>
  </si>
  <si>
    <t>Chaise haute</t>
  </si>
  <si>
    <t>Table haute / bar</t>
  </si>
  <si>
    <t>Nom</t>
  </si>
  <si>
    <t>Client</t>
  </si>
  <si>
    <t>Cyril NAUDEAU</t>
  </si>
  <si>
    <t>Francesca MARITTO</t>
  </si>
  <si>
    <t>Françoise BASCHET</t>
  </si>
  <si>
    <t>Franck GRASSET</t>
  </si>
  <si>
    <t>Sophia MINELLI</t>
  </si>
  <si>
    <t>Marc GALOTTI</t>
  </si>
  <si>
    <t>Rachel DANO</t>
  </si>
  <si>
    <t>Raymond GLORI</t>
  </si>
  <si>
    <t>François BASCHET</t>
  </si>
  <si>
    <t>Prix Total</t>
  </si>
  <si>
    <t>Surcoût</t>
  </si>
  <si>
    <t>Department</t>
  </si>
  <si>
    <t>Transp</t>
  </si>
  <si>
    <t>Ain</t>
  </si>
  <si>
    <t>Aisne</t>
  </si>
  <si>
    <t>Allier</t>
  </si>
  <si>
    <t>Alpes-de-Haute-Provence</t>
  </si>
  <si>
    <t>Hautes-Alpes</t>
  </si>
  <si>
    <t>Alpes-Maritimes</t>
  </si>
  <si>
    <t>Ardèche</t>
  </si>
  <si>
    <t>Ardennes</t>
  </si>
  <si>
    <t>Ariège</t>
  </si>
  <si>
    <t>Aube</t>
  </si>
  <si>
    <t>Aude</t>
  </si>
  <si>
    <t>Aveyron</t>
  </si>
  <si>
    <t>Bouches-du-Rhône</t>
  </si>
  <si>
    <t>Calvados</t>
  </si>
  <si>
    <t>Cantal</t>
  </si>
  <si>
    <t>Charente</t>
  </si>
  <si>
    <t>Charente-Maritime</t>
  </si>
  <si>
    <t>Cher</t>
  </si>
  <si>
    <t>Corrèze</t>
  </si>
  <si>
    <t>2A</t>
  </si>
  <si>
    <t>Corse-du-Sud</t>
  </si>
  <si>
    <t>2B</t>
  </si>
  <si>
    <t>Haute-Corse</t>
  </si>
  <si>
    <t>Côte-d'Or</t>
  </si>
  <si>
    <t>Côtes-d'Armor</t>
  </si>
  <si>
    <t>Creuse</t>
  </si>
  <si>
    <t>Dordogne</t>
  </si>
  <si>
    <t>Doubs</t>
  </si>
  <si>
    <t>Drôme</t>
  </si>
  <si>
    <t>Eure</t>
  </si>
  <si>
    <t>Eure-et-Loir</t>
  </si>
  <si>
    <t>Finistère</t>
  </si>
  <si>
    <t>Gard</t>
  </si>
  <si>
    <t>Haute-Garonne</t>
  </si>
  <si>
    <t>Gers</t>
  </si>
  <si>
    <t>Gironde</t>
  </si>
  <si>
    <t>Hérault</t>
  </si>
  <si>
    <t>Ille-et-Vilaine</t>
  </si>
  <si>
    <t>Indre</t>
  </si>
  <si>
    <t>Indre-et-Loire</t>
  </si>
  <si>
    <t>Isère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</si>
  <si>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</si>
  <si>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</si>
  <si>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</si>
  <si>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</si>
  <si>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</si>
  <si>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</si>
  <si>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</si>
  <si>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</si>
  <si>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</si>
  <si>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Lozère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</si>
  <si>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</si>
  <si>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</si>
  <si>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</si>
  <si>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</si>
  <si>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</si>
  <si>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</si>
  <si>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</si>
  <si>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</si>
  <si>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</si>
  <si>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</si>
  <si>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</si>
  <si>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</si>
  <si>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</si>
  <si>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Pas-de-Calais</t>
  </si>
  <si>
    <t>Puy-de-Dôme</t>
  </si>
  <si>
    <t>Pyrénées-Atlantiques</t>
  </si>
  <si>
    <t>Hautes-Pyrénées</t>
  </si>
  <si>
    <t>Pyrénées-Orientales</t>
  </si>
  <si>
    <t>Bas-Rhin</t>
  </si>
  <si>
    <t>Haut-Rhin</t>
  </si>
  <si>
    <t>Rhône</t>
  </si>
  <si>
    <t>Haute-Saône</t>
  </si>
  <si>
    <t>Saône-et-Loire</t>
  </si>
  <si>
    <t>Sarthe</t>
  </si>
  <si>
    <t>Savoie</t>
  </si>
  <si>
    <t>Haute-Savoie</t>
  </si>
  <si>
    <t>Paris</t>
  </si>
  <si>
    <t>Seine-Maritime</t>
  </si>
  <si>
    <t>Seine-et-Marne</t>
  </si>
  <si>
    <t>Yvelines</t>
  </si>
  <si>
    <t>Deux-Sèvres</t>
  </si>
  <si>
    <t>Somme</t>
  </si>
  <si>
    <t>Tarn</t>
  </si>
  <si>
    <t>Tarn-et-Garonne</t>
  </si>
  <si>
    <t>Var</t>
  </si>
  <si>
    <t>Vaucluse</t>
  </si>
  <si>
    <t>Vendée</t>
  </si>
  <si>
    <t>Vienne</t>
  </si>
  <si>
    <t>Haute-Vienne</t>
  </si>
  <si>
    <t>Vosges</t>
  </si>
  <si>
    <t>Yonne</t>
  </si>
  <si>
    <t>Territoire de Belfort</t>
  </si>
  <si>
    <t>Essonne</t>
  </si>
  <si>
    <t>Hauts-de-Seine</t>
  </si>
  <si>
    <t>Seine-Saint-Denis</t>
  </si>
  <si>
    <t>Val-de-Marne</t>
  </si>
  <si>
    <t>Val-d'Oise</t>
  </si>
  <si>
    <t>Guadeloupe</t>
  </si>
  <si>
    <t>Martinique</t>
  </si>
  <si>
    <t>Guyane</t>
  </si>
  <si>
    <t>La Réunion</t>
  </si>
  <si>
    <t>Mayotte</t>
  </si>
  <si>
    <t>Numéro</t>
  </si>
  <si>
    <t>Département</t>
  </si>
  <si>
    <t>Transporteur</t>
  </si>
  <si>
    <t>Rick Transport</t>
  </si>
  <si>
    <t>DHL</t>
  </si>
  <si>
    <t>Toto Transport</t>
  </si>
  <si>
    <t>Colissimo</t>
  </si>
  <si>
    <t>Sandra CEREJA</t>
  </si>
  <si>
    <t>00 55 4 68 79 80 10</t>
  </si>
  <si>
    <t>99 999</t>
  </si>
  <si>
    <t>Santa Maria, BR</t>
  </si>
  <si>
    <t>Tv Domingos Trevisan</t>
  </si>
  <si>
    <t>Camion propre</t>
  </si>
  <si>
    <t>FA-2008-0012</t>
  </si>
  <si>
    <t>FA-2008-0013</t>
  </si>
  <si>
    <t>Remy DE LAON</t>
  </si>
  <si>
    <t>Reims</t>
  </si>
  <si>
    <t>2 rue Simon</t>
  </si>
  <si>
    <t>06 66 44 77 11</t>
  </si>
  <si>
    <t>Cornelius TOVALSKI</t>
  </si>
  <si>
    <t>Bordeaux</t>
  </si>
  <si>
    <t>32 rue de rivière</t>
  </si>
  <si>
    <t>07 82 92 21 13</t>
  </si>
  <si>
    <t>Code produit</t>
  </si>
  <si>
    <t>Ensemble dessous verre</t>
  </si>
  <si>
    <t>12.16€</t>
  </si>
  <si>
    <t>22.68€</t>
  </si>
  <si>
    <t>34.28€</t>
  </si>
  <si>
    <t>Table 4 place</t>
  </si>
  <si>
    <t>95.51€</t>
  </si>
  <si>
    <t>73.29€</t>
  </si>
  <si>
    <t>Taboret</t>
  </si>
  <si>
    <t>54.46€</t>
  </si>
  <si>
    <t>87.39€</t>
  </si>
  <si>
    <t>P5943</t>
  </si>
  <si>
    <t>Chaise jardin</t>
  </si>
  <si>
    <t>88.76€</t>
  </si>
  <si>
    <t>282.73€</t>
  </si>
  <si>
    <t>Ensemble table + banc</t>
  </si>
  <si>
    <t>398.32€</t>
  </si>
  <si>
    <t>P8428</t>
  </si>
  <si>
    <t>Table 4/6 places</t>
  </si>
  <si>
    <t>172.80€</t>
  </si>
  <si>
    <t>370.57€</t>
  </si>
  <si>
    <t>Table 6 places</t>
  </si>
  <si>
    <t>163.80€</t>
  </si>
  <si>
    <t>si on essaie de faire le calcul avec la colonne C, ça ne marche pas…</t>
  </si>
  <si>
    <t>il faut d'abord nettoyer les données</t>
  </si>
  <si>
    <t xml:space="preserve">si les valeurs contiennent une devise différente de la vôtre ($ par ex), </t>
  </si>
  <si>
    <t>il faut d'abord remplacer le $ par rien</t>
  </si>
  <si>
    <t>$ 73.29</t>
  </si>
  <si>
    <t>Noms Jours fériés</t>
  </si>
  <si>
    <t>Jours semaine</t>
  </si>
  <si>
    <t>Année</t>
  </si>
  <si>
    <t>Jour de l'An</t>
  </si>
  <si>
    <t>Lundi de Pâques</t>
  </si>
  <si>
    <t>Fête du Travail</t>
  </si>
  <si>
    <t>Victoire 1945</t>
  </si>
  <si>
    <t>Ascension</t>
  </si>
  <si>
    <t>Pentecôte</t>
  </si>
  <si>
    <t>Fête nationale</t>
  </si>
  <si>
    <t>Assomption</t>
  </si>
  <si>
    <t>Toussaint</t>
  </si>
  <si>
    <t>Armistice 1918</t>
  </si>
  <si>
    <t>Noël</t>
  </si>
  <si>
    <t>alternative avec format # ###,00 €;[Rouge]# ###,00 €;</t>
  </si>
  <si>
    <t>formules morceau par morceau (on peut effacer)</t>
  </si>
  <si>
    <t>alternative prix total</t>
  </si>
  <si>
    <t>P9222</t>
  </si>
  <si>
    <t>Boîte à mochoirs (ancienne collection)</t>
  </si>
  <si>
    <t>P5900</t>
  </si>
  <si>
    <t>Chaise jardin en bois</t>
  </si>
  <si>
    <t>formules morceaux par morceau</t>
  </si>
  <si>
    <t>Prix Prod</t>
  </si>
  <si>
    <t>Zone</t>
  </si>
  <si>
    <t>Ventes</t>
  </si>
  <si>
    <t xml:space="preserve">Zone </t>
  </si>
  <si>
    <t>Factures</t>
  </si>
  <si>
    <t>Nb Factures</t>
  </si>
  <si>
    <t>Nb Produits</t>
  </si>
  <si>
    <t>Qte Moy</t>
  </si>
  <si>
    <t>Qte total</t>
  </si>
  <si>
    <t>Prix Prod Moy</t>
  </si>
  <si>
    <t>Prix Prod Tot</t>
  </si>
  <si>
    <t>Tab*</t>
  </si>
  <si>
    <t>&gt;1</t>
  </si>
  <si>
    <t>Prix Moy HT</t>
  </si>
  <si>
    <t>Total prix HT</t>
  </si>
  <si>
    <t>Prix TTC Moy</t>
  </si>
  <si>
    <t>Prix TTC Tot</t>
  </si>
  <si>
    <t>Surcoût Moy</t>
  </si>
  <si>
    <t>Surcoût Tot</t>
  </si>
  <si>
    <t>Toto*</t>
  </si>
  <si>
    <t xml:space="preserve">pour ceux qui veulent utiliser decaler... </t>
  </si>
  <si>
    <t>Total général</t>
  </si>
  <si>
    <t>A DEFINIR</t>
  </si>
  <si>
    <t>Transporteurs</t>
  </si>
  <si>
    <t>Depts &amp; Villes</t>
  </si>
  <si>
    <t>Somme HT</t>
  </si>
  <si>
    <t>% Total HT</t>
  </si>
  <si>
    <t>Qte vendue</t>
  </si>
  <si>
    <t>coût prod</t>
  </si>
  <si>
    <t>Copie feuille originale pour montrer la solution avec DECALER</t>
  </si>
  <si>
    <t>Étiquettes de lignes</t>
  </si>
  <si>
    <t>Cout prod</t>
  </si>
  <si>
    <t>Somme Prix HT</t>
  </si>
  <si>
    <t>% Total Prix HT</t>
  </si>
  <si>
    <t>(attention à bien utiliser le 4 pour décaler la ligne de départ à cause de la ligne avec la TVA)</t>
  </si>
  <si>
    <r>
      <t>DECALER('Ventes (copie)'!$A$1;</t>
    </r>
    <r>
      <rPr>
        <b/>
        <i/>
        <sz val="14"/>
        <color rgb="FFFF0000"/>
        <rFont val="Calibri (Corps)"/>
      </rPr>
      <t>4</t>
    </r>
    <r>
      <rPr>
        <b/>
        <i/>
        <sz val="14"/>
        <color theme="1"/>
        <rFont val="Calibri"/>
        <family val="2"/>
        <scheme val="minor"/>
      </rPr>
      <t>;0;NBVAL('Ventes (copie)'!$D:$D);NBVAL('Ventes (copie)'!$5:$5))</t>
    </r>
  </si>
  <si>
    <t>Surcoût (format)</t>
  </si>
  <si>
    <t>Somme de Quantité</t>
  </si>
  <si>
    <t>Somme de Prix HT</t>
  </si>
  <si>
    <t>Produits</t>
  </si>
  <si>
    <t>% Tot gén</t>
  </si>
  <si>
    <t>10-20</t>
  </si>
  <si>
    <t>20-30</t>
  </si>
  <si>
    <t>30-40</t>
  </si>
  <si>
    <t>50-60</t>
  </si>
  <si>
    <t>70-80</t>
  </si>
  <si>
    <t>80-90</t>
  </si>
  <si>
    <t>160-170</t>
  </si>
  <si>
    <t>280-290</t>
  </si>
  <si>
    <t>300-310</t>
  </si>
  <si>
    <t>370-380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</si>
</sst>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 * #,##0.00_)\ &quot;€&quot;_ ;_ * \(#,##0.00\)\ &quot;€&quot;_ ;_ * &quot;-&quot;??_)\ &quot;€&quot;_ ;_ @_ "/>
    <numFmt numFmtId="43" formatCode="_ * #,##0.00_)_ ;_ * \(#,##0.00\)_ ;_ * &quot;-&quot;??_)_ ;_ @_ "/>
    <numFmt numFmtId="164" formatCode="0.0%"/>
    <numFmt numFmtId="165" formatCode="_-* #,##0.00\ [$€-40C]_-;\-* #,##0.00\ [$€-40C]_-;_-* &quot;-&quot;??\ [$€-40C]_-;_-@_-"/>
    <numFmt numFmtId="166" formatCode="#,###.00\ &quot;€&quot;;[Red]#,###.00\ &quot;€&quot;;"/>
    <numFmt numFmtId="167" formatCode="#,##0.00\ &quot;€&quot;;[Red]#,##0.00\ &quot;€&quot;"/>
    <numFmt numFmtId="168" formatCode="#,##0.00\ &quot;€&quot;"/>
    <numFmt numFmtId="170" formatCode="0.00\ &quot;€&quot;\ ;;"/>
  </numFmts>
  <fonts count="11" x14ac:knownFonts="1"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4"/>
      <color theme="10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FFFFFF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i/>
      <sz val="14"/>
      <color rgb="FFFF0000"/>
      <name val="Calibri (Corps)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4472C4"/>
        <bgColor rgb="FF000000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1">
    <xf numFmtId="0" fontId="0" fillId="0" borderId="0" xfId="0"/>
    <xf numFmtId="164" fontId="0" fillId="0" borderId="0" xfId="1" applyNumberFormat="1" applyFont="1"/>
    <xf numFmtId="0" fontId="2" fillId="2" borderId="0" xfId="0" applyFont="1" applyFill="1"/>
    <xf numFmtId="14" fontId="0" fillId="0" borderId="0" xfId="0" applyNumberFormat="1"/>
    <xf numFmtId="2" fontId="0" fillId="0" borderId="0" xfId="0" applyNumberFormat="1"/>
    <xf numFmtId="0" fontId="2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4" fillId="0" borderId="0" xfId="2"/>
    <xf numFmtId="44" fontId="0" fillId="0" borderId="0" xfId="3" applyFont="1"/>
    <xf numFmtId="44" fontId="2" fillId="2" borderId="0" xfId="3" applyFont="1" applyFill="1"/>
    <xf numFmtId="44" fontId="0" fillId="0" borderId="0" xfId="0" applyNumberFormat="1"/>
    <xf numFmtId="49" fontId="0" fillId="0" borderId="0" xfId="4" applyNumberFormat="1" applyFont="1"/>
    <xf numFmtId="49" fontId="0" fillId="0" borderId="0" xfId="0" applyNumberFormat="1"/>
    <xf numFmtId="165" fontId="0" fillId="0" borderId="0" xfId="0" applyNumberFormat="1"/>
    <xf numFmtId="0" fontId="5" fillId="0" borderId="0" xfId="0" applyFont="1"/>
    <xf numFmtId="0" fontId="6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right" wrapText="1"/>
    </xf>
    <xf numFmtId="15" fontId="0" fillId="0" borderId="0" xfId="0" applyNumberFormat="1"/>
    <xf numFmtId="0" fontId="5" fillId="0" borderId="0" xfId="0" applyFont="1" applyAlignment="1">
      <alignment horizontal="left" vertical="center"/>
    </xf>
    <xf numFmtId="166" fontId="0" fillId="0" borderId="0" xfId="0" applyNumberFormat="1"/>
    <xf numFmtId="167" fontId="0" fillId="0" borderId="0" xfId="0" applyNumberFormat="1"/>
    <xf numFmtId="1" fontId="0" fillId="0" borderId="0" xfId="0" applyNumberFormat="1" applyAlignment="1">
      <alignment horizontal="center"/>
    </xf>
    <xf numFmtId="0" fontId="0" fillId="4" borderId="1" xfId="0" applyFill="1" applyBorder="1"/>
    <xf numFmtId="2" fontId="0" fillId="0" borderId="0" xfId="3" applyNumberFormat="1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pivotButton="1" applyAlignment="1">
      <alignment horizontal="center"/>
    </xf>
    <xf numFmtId="168" fontId="0" fillId="0" borderId="0" xfId="0" applyNumberFormat="1"/>
    <xf numFmtId="10" fontId="0" fillId="0" borderId="0" xfId="0" applyNumberFormat="1"/>
    <xf numFmtId="0" fontId="2" fillId="2" borderId="0" xfId="0" applyFont="1" applyFill="1" applyAlignment="1">
      <alignment horizontal="left" vertical="center"/>
    </xf>
    <xf numFmtId="170" fontId="0" fillId="0" borderId="0" xfId="3" applyNumberFormat="1" applyFont="1"/>
    <xf numFmtId="0" fontId="0" fillId="0" borderId="0" xfId="0" pivotButton="1"/>
    <xf numFmtId="0" fontId="0" fillId="0" borderId="0" xfId="0" applyNumberFormat="1"/>
    <xf numFmtId="44" fontId="0" fillId="0" borderId="0" xfId="0" applyNumberFormat="1" applyAlignment="1">
      <alignment horizontal="left"/>
    </xf>
  </cellXfs>
  <cellStyles count="5">
    <cellStyle name="Lien hypertexte" xfId="2" builtinId="8"/>
    <cellStyle name="Milliers" xfId="4" builtinId="3"/>
    <cellStyle name="Monétaire" xfId="3" builtinId="4"/>
    <cellStyle name="Normal" xfId="0" builtinId="0"/>
    <cellStyle name="Pourcentage" xfId="1" builtinId="5"/>
  </cellStyles>
  <dxfs count="10">
    <dxf>
      <font>
        <color rgb="FF9C5700"/>
      </font>
      <fill>
        <patternFill>
          <bgColor rgb="FFFFEB9C"/>
        </patternFill>
      </fill>
    </dxf>
    <dxf>
      <numFmt numFmtId="34" formatCode="_ * #,##0.00_)\ &quot;€&quot;_ ;_ * \(#,##0.00\)\ &quot;€&quot;_ ;_ * &quot;-&quot;??_)\ &quot;€&quot;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34" formatCode="_ * #,##0.00_)\ &quot;€&quot;_ ;_ * \(#,##0.00\)\ &quot;€&quot;_ ;_ * &quot;-&quot;??_)\ &quot;€&quot;_ ;_ @_ "/>
    </dxf>
    <dxf>
      <numFmt numFmtId="19" formatCode="dd/mm/yyyy"/>
    </dxf>
    <dxf>
      <numFmt numFmtId="34" formatCode="_ * #,##0.00_)\ &quot;€&quot;_ ;_ * \(#,##0.00\)\ &quot;€&quot;_ ;_ * &quot;-&quot;??_)\ &quot;€&quot;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</dxf>
    <dxf>
      <numFmt numFmtId="0" formatCode="General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microsoft.com/office/2011/relationships/timelineCache" Target="timelineCaches/timelineCache1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07/relationships/slicerCache" Target="slicerCaches/slicerCache2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07/relationships/slicerCache" Target="slicerCaches/slicerCache1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2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microsoft.com/office/2011/relationships/timelineCache" Target="timelineCaches/timelineCache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nc-sa/3.0/" TargetMode="External"/><Relationship Id="rId2" Type="http://schemas.openxmlformats.org/officeDocument/2006/relationships/hyperlink" Target="https://www.francegenweb.org/dept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12</xdr:col>
      <xdr:colOff>190500</xdr:colOff>
      <xdr:row>28</xdr:row>
      <xdr:rowOff>88900</xdr:rowOff>
    </xdr:to>
    <xdr:pic>
      <xdr:nvPicPr>
        <xdr:cNvPr id="5" name="Image 4" descr="Département français — WikiGenWeb">
          <a:extLst>
            <a:ext uri="{FF2B5EF4-FFF2-40B4-BE49-F238E27FC236}">
              <a16:creationId xmlns:a16="http://schemas.microsoft.com/office/drawing/2014/main" id="{A1F70BD0-880C-9B62-BFFA-7E892482B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7200900" y="254000"/>
          <a:ext cx="5905500" cy="6604000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28</xdr:row>
      <xdr:rowOff>88900</xdr:rowOff>
    </xdr:from>
    <xdr:ext cx="5905500" cy="233141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3377F298-792D-89DF-349A-2BAC3F8A3827}"/>
            </a:ext>
          </a:extLst>
        </xdr:cNvPr>
        <xdr:cNvSpPr txBox="1"/>
      </xdr:nvSpPr>
      <xdr:spPr>
        <a:xfrm>
          <a:off x="7200900" y="6858000"/>
          <a:ext cx="5905500" cy="233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900">
              <a:hlinkClick xmlns:r="http://schemas.openxmlformats.org/officeDocument/2006/relationships" r:id="rId2" tooltip="https://www.francegenweb.org/dept/"/>
            </a:rPr>
            <a:t>Cette photo</a:t>
          </a:r>
          <a:r>
            <a:rPr lang="fr-FR" sz="900"/>
            <a:t> par Auteur inconnu est soumise à la licence </a:t>
          </a:r>
          <a:r>
            <a:rPr lang="fr-FR" sz="900">
              <a:hlinkClick xmlns:r="http://schemas.openxmlformats.org/officeDocument/2006/relationships" r:id="rId3" tooltip="https://creativecommons.org/licenses/by-nc-sa/3.0/"/>
            </a:rPr>
            <a:t>CC BY-SA-NC</a:t>
          </a:r>
          <a:endParaRPr lang="fr-FR" sz="9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25400</xdr:colOff>
      <xdr:row>2</xdr:row>
      <xdr:rowOff>25400</xdr:rowOff>
    </xdr:from>
    <xdr:to>
      <xdr:col>12</xdr:col>
      <xdr:colOff>698500</xdr:colOff>
      <xdr:row>7</xdr:row>
      <xdr:rowOff>139700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2" name="Date Livraison">
              <a:extLst>
                <a:ext uri="{FF2B5EF4-FFF2-40B4-BE49-F238E27FC236}">
                  <a16:creationId xmlns:a16="http://schemas.microsoft.com/office/drawing/2014/main" id="{B0CCE15F-BEA9-74A5-63F3-0ACC246E56F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Date Livrais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594600" y="508000"/>
              <a:ext cx="3340100" cy="1320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Chronologie : fonctionne dans Excel 2013 ou version ultérieure. Ne pas déplacer ou redimensionner.</a:t>
              </a:r>
            </a:p>
          </xdr:txBody>
        </xdr:sp>
      </mc:Fallback>
    </mc:AlternateContent>
    <xdr:clientData/>
  </xdr:twoCellAnchor>
  <xdr:twoCellAnchor editAs="oneCell">
    <xdr:from>
      <xdr:col>7</xdr:col>
      <xdr:colOff>38100</xdr:colOff>
      <xdr:row>9</xdr:row>
      <xdr:rowOff>38100</xdr:rowOff>
    </xdr:from>
    <xdr:to>
      <xdr:col>10</xdr:col>
      <xdr:colOff>266700</xdr:colOff>
      <xdr:row>25</xdr:row>
      <xdr:rowOff>76200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Description">
              <a:extLst>
                <a:ext uri="{FF2B5EF4-FFF2-40B4-BE49-F238E27FC236}">
                  <a16:creationId xmlns:a16="http://schemas.microsoft.com/office/drawing/2014/main" id="{1BEBE722-A733-3475-6DA8-FC349146DED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escript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607300" y="2209800"/>
              <a:ext cx="1828800" cy="300036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584200</xdr:colOff>
      <xdr:row>1</xdr:row>
      <xdr:rowOff>76200</xdr:rowOff>
    </xdr:from>
    <xdr:to>
      <xdr:col>10</xdr:col>
      <xdr:colOff>114300</xdr:colOff>
      <xdr:row>6</xdr:row>
      <xdr:rowOff>190500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2" name="Date Livraison 1">
              <a:extLst>
                <a:ext uri="{FF2B5EF4-FFF2-40B4-BE49-F238E27FC236}">
                  <a16:creationId xmlns:a16="http://schemas.microsoft.com/office/drawing/2014/main" id="{E466771B-931C-2F19-BB1C-344A620838A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Date Livraiso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420100" y="317500"/>
              <a:ext cx="3340100" cy="1320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Chronologie : fonctionne dans Excel 2013 ou version ultérieure. Ne pas déplacer ou redimensionner.</a:t>
              </a:r>
            </a:p>
          </xdr:txBody>
        </xdr:sp>
      </mc:Fallback>
    </mc:AlternateContent>
    <xdr:clientData/>
  </xdr:twoCellAnchor>
  <xdr:twoCellAnchor editAs="oneCell">
    <xdr:from>
      <xdr:col>6</xdr:col>
      <xdr:colOff>571500</xdr:colOff>
      <xdr:row>8</xdr:row>
      <xdr:rowOff>177800</xdr:rowOff>
    </xdr:from>
    <xdr:to>
      <xdr:col>9</xdr:col>
      <xdr:colOff>50800</xdr:colOff>
      <xdr:row>20</xdr:row>
      <xdr:rowOff>219069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Description 1">
              <a:extLst>
                <a:ext uri="{FF2B5EF4-FFF2-40B4-BE49-F238E27FC236}">
                  <a16:creationId xmlns:a16="http://schemas.microsoft.com/office/drawing/2014/main" id="{1EE89A23-CA00-6B1B-4E19-88B87D7C728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escriptio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407400" y="2108200"/>
              <a:ext cx="2336800" cy="293686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kirschpin/Library/CloudStorage/Dropbox/Aulas/EMEP/Excel/EMEP/Exercices/Solutions/Commandes-sol.xlsx" TargetMode="External"/><Relationship Id="rId1" Type="http://schemas.openxmlformats.org/officeDocument/2006/relationships/externalLinkPath" Target="/Users/kirsch/Dropbox/Aulas/EMEP/Excel/EMEP%202024-2025/Exercices/Solutions/Commandes-so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talogue"/>
      <sheetName val="Ventes"/>
      <sheetName val="Factures"/>
      <sheetName val="Transport"/>
      <sheetName val="Feuil3"/>
      <sheetName val="JourFériés"/>
    </sheetNames>
    <sheetDataSet>
      <sheetData sheetId="0"/>
      <sheetData sheetId="1"/>
      <sheetData sheetId="2">
        <row r="1">
          <cell r="A1" t="str">
            <v>N° Facture</v>
          </cell>
          <cell r="B1" t="str">
            <v>Date</v>
          </cell>
          <cell r="C1" t="str">
            <v>Date Livraison</v>
          </cell>
        </row>
        <row r="2">
          <cell r="A2" t="str">
            <v>FA-2008-0001</v>
          </cell>
          <cell r="B2">
            <v>45475</v>
          </cell>
          <cell r="C2">
            <v>45496</v>
          </cell>
        </row>
        <row r="3">
          <cell r="A3" t="str">
            <v>FA-2008-0002</v>
          </cell>
          <cell r="B3">
            <v>45481</v>
          </cell>
          <cell r="C3">
            <v>45502</v>
          </cell>
        </row>
        <row r="4">
          <cell r="A4" t="str">
            <v>FA-2008-0003</v>
          </cell>
          <cell r="B4">
            <v>45464</v>
          </cell>
          <cell r="C4">
            <v>45485</v>
          </cell>
        </row>
        <row r="5">
          <cell r="A5" t="str">
            <v>FA-2008-0004</v>
          </cell>
          <cell r="B5">
            <v>45526</v>
          </cell>
          <cell r="C5">
            <v>45547</v>
          </cell>
        </row>
        <row r="6">
          <cell r="A6" t="str">
            <v>FA-2008-0005</v>
          </cell>
          <cell r="B6">
            <v>45465</v>
          </cell>
          <cell r="C6">
            <v>45485</v>
          </cell>
        </row>
        <row r="7">
          <cell r="A7" t="str">
            <v>FA-2008-0006</v>
          </cell>
          <cell r="B7">
            <v>45515</v>
          </cell>
          <cell r="C7">
            <v>45537</v>
          </cell>
        </row>
        <row r="8">
          <cell r="A8" t="str">
            <v>FA-2008-0007</v>
          </cell>
          <cell r="B8">
            <v>45498</v>
          </cell>
          <cell r="C8">
            <v>45520</v>
          </cell>
        </row>
        <row r="9">
          <cell r="A9" t="str">
            <v>FA-2008-0008</v>
          </cell>
          <cell r="B9">
            <v>45515</v>
          </cell>
          <cell r="C9">
            <v>45537</v>
          </cell>
        </row>
        <row r="10">
          <cell r="A10" t="str">
            <v>FA-2008-0009</v>
          </cell>
          <cell r="B10">
            <v>45527</v>
          </cell>
          <cell r="C10">
            <v>45548</v>
          </cell>
        </row>
        <row r="11">
          <cell r="A11" t="str">
            <v>FA-2008-0010</v>
          </cell>
          <cell r="B11">
            <v>45495</v>
          </cell>
          <cell r="C11">
            <v>45516</v>
          </cell>
        </row>
        <row r="12">
          <cell r="A12" t="str">
            <v>FA-2008-0011</v>
          </cell>
          <cell r="B12">
            <v>45536</v>
          </cell>
          <cell r="C12">
            <v>45555</v>
          </cell>
        </row>
        <row r="13">
          <cell r="A13" t="str">
            <v>FA-2008-0012</v>
          </cell>
          <cell r="B13">
            <v>45536</v>
          </cell>
          <cell r="C13">
            <v>45555</v>
          </cell>
        </row>
        <row r="14">
          <cell r="A14" t="str">
            <v>FA-2008-0013</v>
          </cell>
          <cell r="B14">
            <v>45537</v>
          </cell>
          <cell r="C14">
            <v>45558</v>
          </cell>
        </row>
      </sheetData>
      <sheetData sheetId="3"/>
      <sheetData sheetId="4"/>
      <sheetData sheetId="5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nuele Kirsch Pinheiro" refreshedDate="45546.734691319441" createdVersion="8" refreshedVersion="8" minRefreshableVersion="3" recordCount="26" xr:uid="{1F273D4A-CB9D-7241-BCEC-F4CE78D1F764}">
  <cacheSource type="worksheet">
    <worksheetSource name="TabVentes"/>
  </cacheSource>
  <cacheFields count="15">
    <cacheField name="N° Facture" numFmtId="0">
      <sharedItems/>
    </cacheField>
    <cacheField name="Date" numFmtId="14">
      <sharedItems containsSemiMixedTypes="0" containsNonDate="0" containsDate="1" containsString="0" minDate="2024-06-21T00:00:00" maxDate="2024-09-03T00:00:00"/>
    </cacheField>
    <cacheField name="Produit" numFmtId="0">
      <sharedItems count="11">
        <s v="P9287"/>
        <s v="P6953"/>
        <s v="P3026"/>
        <s v="P5875"/>
        <s v="P1176"/>
        <s v="P7910"/>
        <s v="P3081"/>
        <s v="P5665"/>
        <s v="P5026"/>
        <s v="P3108"/>
        <s v="P9167"/>
      </sharedItems>
    </cacheField>
    <cacheField name="Description" numFmtId="0">
      <sharedItems count="10">
        <s v="Table"/>
        <s v="Ensemble jardin"/>
        <s v="Porte tablette"/>
        <s v="Dessous verre"/>
        <s v="Ensemble table"/>
        <s v="Vase"/>
        <s v="Table basse"/>
        <s v="Tabouret"/>
        <s v="Chaise haute"/>
        <s v="Table haute / bar"/>
      </sharedItems>
    </cacheField>
    <cacheField name="Prix Unit" numFmtId="44">
      <sharedItems containsSemiMixedTypes="0" containsString="0" containsNumber="1" minValue="12" maxValue="370"/>
    </cacheField>
    <cacheField name="Quantité" numFmtId="0">
      <sharedItems containsSemiMixedTypes="0" containsString="0" containsNumber="1" containsInteger="1" minValue="1" maxValue="10"/>
    </cacheField>
    <cacheField name="Prix HT" numFmtId="44">
      <sharedItems containsSemiMixedTypes="0" containsString="0" containsNumber="1" minValue="24" maxValue="370"/>
    </cacheField>
    <cacheField name="Prix TTC" numFmtId="44">
      <sharedItems containsSemiMixedTypes="0" containsString="0" containsNumber="1" minValue="28.776000000000003" maxValue="443.63000000000005"/>
    </cacheField>
    <cacheField name="Prix Prod" numFmtId="44">
      <sharedItems containsSemiMixedTypes="0" containsString="0" containsNumber="1" minValue="12" maxValue="370" count="14">
        <n v="160"/>
        <n v="280"/>
        <n v="22"/>
        <n v="87.39"/>
        <n v="12"/>
        <n v="300"/>
        <n v="34.28"/>
        <n v="22.68"/>
        <n v="54.46"/>
        <n v="73.290000000000006"/>
        <n v="35"/>
        <n v="370"/>
        <n v="282"/>
        <n v="70"/>
      </sharedItems>
      <fieldGroup base="8">
        <rangePr autoStart="0" autoEnd="0" startNum="10" endNum="400" groupInterval="10"/>
        <groupItems count="41">
          <s v="&lt;10"/>
          <s v="10-20"/>
          <s v="20-30"/>
          <s v="30-40"/>
          <s v="40-50"/>
          <s v="50-60"/>
          <s v="60-70"/>
          <s v="70-80"/>
          <s v="80-90"/>
          <s v="90-100"/>
          <s v="100-110"/>
          <s v="110-120"/>
          <s v="120-130"/>
          <s v="130-140"/>
          <s v="140-150"/>
          <s v="150-160"/>
          <s v="160-170"/>
          <s v="170-180"/>
          <s v="180-190"/>
          <s v="190-200"/>
          <s v="200-210"/>
          <s v="210-220"/>
          <s v="220-230"/>
          <s v="230-240"/>
          <s v="240-250"/>
          <s v="250-260"/>
          <s v="260-270"/>
          <s v="270-280"/>
          <s v="280-290"/>
          <s v="290-300"/>
          <s v="300-310"/>
          <s v="310-320"/>
          <s v="320-330"/>
          <s v="330-340"/>
          <s v="340-350"/>
          <s v="350-360"/>
          <s v="360-370"/>
          <s v="370-380"/>
          <s v="380-390"/>
          <s v="390-400"/>
          <s v="&gt;400"/>
        </groupItems>
      </fieldGroup>
    </cacheField>
    <cacheField name="Date Livraison" numFmtId="14">
      <sharedItems containsSemiMixedTypes="0" containsNonDate="0" containsDate="1" containsString="0" minDate="2024-07-12T00:00:00" maxDate="2024-09-24T00:00:00" count="10">
        <d v="2024-07-23T00:00:00"/>
        <d v="2024-07-29T00:00:00"/>
        <d v="2024-07-12T00:00:00"/>
        <d v="2024-09-12T00:00:00"/>
        <d v="2024-09-02T00:00:00"/>
        <d v="2024-08-16T00:00:00"/>
        <d v="2024-09-13T00:00:00"/>
        <d v="2024-08-12T00:00:00"/>
        <d v="2024-09-20T00:00:00"/>
        <d v="2024-09-23T00:00:00"/>
      </sharedItems>
    </cacheField>
    <cacheField name="Nom" numFmtId="0">
      <sharedItems/>
    </cacheField>
    <cacheField name="Code postal" numFmtId="0">
      <sharedItems containsMixedTypes="1" containsNumber="1" containsInteger="1" minValue="33025" maxValue="51100"/>
    </cacheField>
    <cacheField name="ville" numFmtId="0">
      <sharedItems count="12">
        <s v="St Aubin sur Yonne"/>
        <s v="St Quentin les Anges"/>
        <s v="Rueil Malmaison"/>
        <s v="Auriat"/>
        <s v="Marq-en-Bareouil"/>
        <s v="Arget"/>
        <s v="Braquis"/>
        <s v="Aigremont"/>
        <s v="Brunet"/>
        <s v="Santa Maria, BR"/>
        <s v="Reims"/>
        <s v="Bordeaux"/>
      </sharedItems>
    </cacheField>
    <cacheField name="Department" numFmtId="0">
      <sharedItems containsSemiMixedTypes="0" containsString="0" containsNumber="1" containsInteger="1" minValue="4" maxValue="99" count="12">
        <n v="89"/>
        <n v="53"/>
        <n v="92"/>
        <n v="23"/>
        <n v="59"/>
        <n v="64"/>
        <n v="55"/>
        <n v="52"/>
        <n v="4"/>
        <n v="99"/>
        <n v="51"/>
        <n v="33"/>
      </sharedItems>
    </cacheField>
    <cacheField name="Transp" numFmtId="0">
      <sharedItems count="4">
        <s v="Toto Transport"/>
        <s v="Colissimo"/>
        <s v="Camion propre"/>
        <s v="A DEFINIR"/>
      </sharedItems>
    </cacheField>
  </cacheFields>
  <extLst>
    <ext xmlns:x14="http://schemas.microsoft.com/office/spreadsheetml/2009/9/main" uri="{725AE2AE-9491-48be-B2B4-4EB974FC3084}">
      <x14:pivotCacheDefinition pivotCacheId="515676178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nuele Kirsch Pinheiro" refreshedDate="45547.45674976852" createdVersion="8" refreshedVersion="8" minRefreshableVersion="3" recordCount="26" xr:uid="{063445D4-34EC-BE42-9A6D-A10970C87B9C}">
  <cacheSource type="worksheet">
    <worksheetSource name="=PlageDyn"/>
  </cacheSource>
  <cacheFields count="16">
    <cacheField name="N° Facture" numFmtId="0">
      <sharedItems/>
    </cacheField>
    <cacheField name="Date" numFmtId="14">
      <sharedItems containsSemiMixedTypes="0" containsNonDate="0" containsDate="1" containsString="0" minDate="2024-06-21T00:00:00" maxDate="2024-09-03T00:00:00"/>
    </cacheField>
    <cacheField name="Date Livraison" numFmtId="14">
      <sharedItems containsSemiMixedTypes="0" containsNonDate="0" containsDate="1" containsString="0" minDate="2024-07-12T00:00:00" maxDate="2024-09-24T00:00:00" count="10">
        <d v="2024-07-23T00:00:00"/>
        <d v="2024-07-29T00:00:00"/>
        <d v="2024-07-12T00:00:00"/>
        <d v="2024-09-12T00:00:00"/>
        <d v="2024-09-02T00:00:00"/>
        <d v="2024-08-16T00:00:00"/>
        <d v="2024-09-13T00:00:00"/>
        <d v="2024-08-12T00:00:00"/>
        <d v="2024-09-20T00:00:00"/>
        <d v="2024-09-23T00:00:00"/>
      </sharedItems>
    </cacheField>
    <cacheField name="Produit" numFmtId="0">
      <sharedItems/>
    </cacheField>
    <cacheField name="Description" numFmtId="0">
      <sharedItems count="10">
        <s v="Table"/>
        <s v="Ensemble jardin"/>
        <s v="Porte tablette"/>
        <s v="Dessous verre"/>
        <s v="Ensemble table"/>
        <s v="Vase"/>
        <s v="Table basse"/>
        <s v="Tabouret"/>
        <s v="Chaise haute"/>
        <s v="Table haute / bar"/>
      </sharedItems>
    </cacheField>
    <cacheField name="Prix Unit" numFmtId="44">
      <sharedItems containsSemiMixedTypes="0" containsString="0" containsNumber="1" minValue="12" maxValue="370"/>
    </cacheField>
    <cacheField name="Quantité" numFmtId="0">
      <sharedItems containsSemiMixedTypes="0" containsString="0" containsNumber="1" containsInteger="1" minValue="1" maxValue="10"/>
    </cacheField>
    <cacheField name="Prix HT" numFmtId="44">
      <sharedItems containsSemiMixedTypes="0" containsString="0" containsNumber="1" minValue="24" maxValue="370"/>
    </cacheField>
    <cacheField name="Prix TTC" numFmtId="44">
      <sharedItems containsSemiMixedTypes="0" containsString="0" containsNumber="1" minValue="28.776000000000003" maxValue="443.63000000000005"/>
    </cacheField>
    <cacheField name="Prix Prod" numFmtId="44">
      <sharedItems containsSemiMixedTypes="0" containsString="0" containsNumber="1" minValue="12" maxValue="370"/>
    </cacheField>
    <cacheField name="Date Livraison2" numFmtId="44">
      <sharedItems containsSemiMixedTypes="0" containsString="0" containsNumber="1" containsInteger="1" minValue="45485" maxValue="45558"/>
    </cacheField>
    <cacheField name="Nom" numFmtId="44">
      <sharedItems/>
    </cacheField>
    <cacheField name="Code postal" numFmtId="44">
      <sharedItems containsMixedTypes="1" containsNumber="1" containsInteger="1" minValue="33025" maxValue="51100"/>
    </cacheField>
    <cacheField name="ville" numFmtId="44">
      <sharedItems count="12">
        <s v="St Aubin sur Yonne"/>
        <s v="St Quentin les Anges"/>
        <s v="Rueil Malmaison"/>
        <s v="Auriat"/>
        <s v="Marq-en-Bareouil"/>
        <s v="Arget"/>
        <s v="Braquis"/>
        <s v="Aigremont"/>
        <s v="Brunet"/>
        <s v="Santa Maria, BR"/>
        <s v="Reims"/>
        <s v="Bordeaux"/>
      </sharedItems>
    </cacheField>
    <cacheField name="Department" numFmtId="44">
      <sharedItems containsSemiMixedTypes="0" containsString="0" containsNumber="1" containsInteger="1" minValue="4" maxValue="99" count="12">
        <n v="89"/>
        <n v="53"/>
        <n v="92"/>
        <n v="23"/>
        <n v="59"/>
        <n v="64"/>
        <n v="55"/>
        <n v="52"/>
        <n v="4"/>
        <n v="99"/>
        <n v="51"/>
        <n v="33"/>
      </sharedItems>
    </cacheField>
    <cacheField name="Transp" numFmtId="44">
      <sharedItems count="4">
        <s v="Toto Transport"/>
        <s v="Colissimo"/>
        <s v="Camion propre"/>
        <s v="A DEFINIR"/>
      </sharedItems>
    </cacheField>
  </cacheFields>
  <extLst>
    <ext xmlns:x14="http://schemas.microsoft.com/office/spreadsheetml/2009/9/main" uri="{725AE2AE-9491-48be-B2B4-4EB974FC3084}">
      <x14:pivotCacheDefinition pivotCacheId="1507892684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s v="FA-2008-0001"/>
    <d v="2024-07-02T00:00:00"/>
    <x v="0"/>
    <x v="0"/>
    <n v="160"/>
    <n v="1"/>
    <n v="160"/>
    <n v="191.84"/>
    <x v="0"/>
    <x v="0"/>
    <s v="NAUDEAU"/>
    <s v="89300"/>
    <x v="0"/>
    <x v="0"/>
    <x v="0"/>
  </r>
  <r>
    <s v="FA-2008-0002"/>
    <d v="2024-07-08T00:00:00"/>
    <x v="1"/>
    <x v="1"/>
    <n v="280"/>
    <n v="1"/>
    <n v="280"/>
    <n v="335.72"/>
    <x v="1"/>
    <x v="1"/>
    <s v="MARITTO"/>
    <s v="53400"/>
    <x v="1"/>
    <x v="1"/>
    <x v="1"/>
  </r>
  <r>
    <s v="FA-2008-0002"/>
    <d v="2024-07-08T00:00:00"/>
    <x v="2"/>
    <x v="2"/>
    <n v="22"/>
    <n v="3"/>
    <n v="66"/>
    <n v="79.134"/>
    <x v="2"/>
    <x v="1"/>
    <s v="MARITTO"/>
    <s v="53400"/>
    <x v="1"/>
    <x v="1"/>
    <x v="1"/>
  </r>
  <r>
    <s v="FA-2008-0003"/>
    <d v="2024-06-21T00:00:00"/>
    <x v="3"/>
    <x v="0"/>
    <n v="88"/>
    <n v="2"/>
    <n v="174.78"/>
    <n v="209.56122000000002"/>
    <x v="3"/>
    <x v="2"/>
    <s v="BASCHET"/>
    <s v="92500"/>
    <x v="2"/>
    <x v="2"/>
    <x v="0"/>
  </r>
  <r>
    <s v="FA-2008-0004"/>
    <d v="2024-08-22T00:00:00"/>
    <x v="4"/>
    <x v="3"/>
    <n v="12"/>
    <n v="2"/>
    <n v="24"/>
    <n v="28.776000000000003"/>
    <x v="4"/>
    <x v="3"/>
    <s v="GRASSET"/>
    <s v="23400"/>
    <x v="3"/>
    <x v="3"/>
    <x v="1"/>
  </r>
  <r>
    <s v="FA-2008-0004"/>
    <d v="2024-08-22T00:00:00"/>
    <x v="5"/>
    <x v="4"/>
    <n v="300"/>
    <n v="1"/>
    <n v="300"/>
    <n v="359.70000000000005"/>
    <x v="5"/>
    <x v="3"/>
    <s v="GRASSET"/>
    <s v="23400"/>
    <x v="3"/>
    <x v="3"/>
    <x v="1"/>
  </r>
  <r>
    <s v="FA-2008-0004"/>
    <d v="2024-08-22T00:00:00"/>
    <x v="6"/>
    <x v="5"/>
    <n v="35"/>
    <n v="1"/>
    <n v="34.28"/>
    <n v="41.10172"/>
    <x v="6"/>
    <x v="3"/>
    <s v="GRASSET"/>
    <s v="23400"/>
    <x v="3"/>
    <x v="3"/>
    <x v="1"/>
  </r>
  <r>
    <s v="FA-2008-0004"/>
    <d v="2024-08-22T00:00:00"/>
    <x v="3"/>
    <x v="6"/>
    <n v="88"/>
    <n v="2"/>
    <n v="174.78"/>
    <n v="209.56122000000002"/>
    <x v="3"/>
    <x v="3"/>
    <s v="GRASSET"/>
    <s v="23400"/>
    <x v="3"/>
    <x v="3"/>
    <x v="1"/>
  </r>
  <r>
    <s v="FA-2008-0005"/>
    <d v="2024-06-22T00:00:00"/>
    <x v="2"/>
    <x v="2"/>
    <n v="23"/>
    <n v="10"/>
    <n v="226.8"/>
    <n v="271.93320000000006"/>
    <x v="7"/>
    <x v="2"/>
    <s v="MINELLI"/>
    <s v="59700"/>
    <x v="4"/>
    <x v="4"/>
    <x v="0"/>
  </r>
  <r>
    <s v="FA-2008-0006"/>
    <d v="2024-08-11T00:00:00"/>
    <x v="7"/>
    <x v="7"/>
    <n v="54.5"/>
    <n v="6"/>
    <n v="326.76"/>
    <n v="391.78523999999999"/>
    <x v="8"/>
    <x v="4"/>
    <s v="GALOTTI"/>
    <s v="64410"/>
    <x v="5"/>
    <x v="5"/>
    <x v="1"/>
  </r>
  <r>
    <s v="FA-2008-0007"/>
    <d v="2024-07-25T00:00:00"/>
    <x v="2"/>
    <x v="2"/>
    <n v="23"/>
    <n v="4"/>
    <n v="90.72"/>
    <n v="108.77328"/>
    <x v="7"/>
    <x v="5"/>
    <s v="DANO"/>
    <s v="55400"/>
    <x v="6"/>
    <x v="6"/>
    <x v="2"/>
  </r>
  <r>
    <s v="FA-2008-0007"/>
    <d v="2024-07-25T00:00:00"/>
    <x v="8"/>
    <x v="8"/>
    <n v="74"/>
    <n v="4"/>
    <n v="293.16000000000003"/>
    <n v="351.49884000000003"/>
    <x v="9"/>
    <x v="5"/>
    <s v="DANO"/>
    <s v="55400"/>
    <x v="6"/>
    <x v="6"/>
    <x v="2"/>
  </r>
  <r>
    <s v="FA-2008-0007"/>
    <d v="2024-07-25T00:00:00"/>
    <x v="9"/>
    <x v="5"/>
    <n v="35"/>
    <n v="3"/>
    <n v="105"/>
    <n v="125.89500000000001"/>
    <x v="10"/>
    <x v="5"/>
    <s v="DANO"/>
    <s v="55400"/>
    <x v="6"/>
    <x v="6"/>
    <x v="2"/>
  </r>
  <r>
    <s v="FA-2008-0008"/>
    <d v="2024-08-11T00:00:00"/>
    <x v="2"/>
    <x v="2"/>
    <n v="23"/>
    <n v="2"/>
    <n v="45.36"/>
    <n v="54.38664"/>
    <x v="7"/>
    <x v="4"/>
    <s v="GLORI"/>
    <s v="52400"/>
    <x v="7"/>
    <x v="7"/>
    <x v="2"/>
  </r>
  <r>
    <s v="FA-2008-0009"/>
    <d v="2024-08-23T00:00:00"/>
    <x v="10"/>
    <x v="9"/>
    <n v="370"/>
    <n v="1"/>
    <n v="370"/>
    <n v="443.63000000000005"/>
    <x v="11"/>
    <x v="6"/>
    <s v="BASCHET"/>
    <s v="04210"/>
    <x v="8"/>
    <x v="8"/>
    <x v="1"/>
  </r>
  <r>
    <s v="FA-2008-0009"/>
    <d v="2024-08-23T00:00:00"/>
    <x v="7"/>
    <x v="7"/>
    <n v="54.5"/>
    <n v="4"/>
    <n v="217.84"/>
    <n v="261.19015999999999"/>
    <x v="8"/>
    <x v="6"/>
    <s v="BASCHET"/>
    <s v="04210"/>
    <x v="8"/>
    <x v="8"/>
    <x v="1"/>
  </r>
  <r>
    <s v="FA-2008-0009"/>
    <d v="2024-08-23T00:00:00"/>
    <x v="1"/>
    <x v="1"/>
    <n v="282"/>
    <n v="1"/>
    <n v="282"/>
    <n v="338.11799999999999"/>
    <x v="12"/>
    <x v="6"/>
    <s v="BASCHET"/>
    <s v="04210"/>
    <x v="8"/>
    <x v="8"/>
    <x v="1"/>
  </r>
  <r>
    <s v="FA-2008-0009"/>
    <d v="2024-08-23T00:00:00"/>
    <x v="6"/>
    <x v="5"/>
    <n v="35"/>
    <n v="2"/>
    <n v="68.56"/>
    <n v="82.203440000000001"/>
    <x v="6"/>
    <x v="6"/>
    <s v="BASCHET"/>
    <s v="04210"/>
    <x v="8"/>
    <x v="8"/>
    <x v="1"/>
  </r>
  <r>
    <s v="FA-2008-0010"/>
    <d v="2024-07-22T00:00:00"/>
    <x v="7"/>
    <x v="7"/>
    <n v="54.5"/>
    <n v="1"/>
    <n v="54.46"/>
    <n v="65.297539999999998"/>
    <x v="8"/>
    <x v="7"/>
    <s v="CEREJA"/>
    <s v="99 999"/>
    <x v="9"/>
    <x v="9"/>
    <x v="3"/>
  </r>
  <r>
    <s v="FA-2008-0010"/>
    <d v="2024-07-22T00:00:00"/>
    <x v="8"/>
    <x v="8"/>
    <n v="73.5"/>
    <n v="2"/>
    <n v="146.58000000000001"/>
    <n v="175.74942000000001"/>
    <x v="9"/>
    <x v="7"/>
    <s v="CEREJA"/>
    <s v="99 999"/>
    <x v="9"/>
    <x v="9"/>
    <x v="3"/>
  </r>
  <r>
    <s v="FA-2008-0011"/>
    <d v="2024-09-01T00:00:00"/>
    <x v="10"/>
    <x v="9"/>
    <n v="370"/>
    <n v="1"/>
    <n v="370"/>
    <n v="443.63000000000005"/>
    <x v="11"/>
    <x v="8"/>
    <s v="MINELLI"/>
    <s v="59700"/>
    <x v="4"/>
    <x v="4"/>
    <x v="0"/>
  </r>
  <r>
    <s v="FA-2008-0012"/>
    <d v="2024-09-01T00:00:00"/>
    <x v="9"/>
    <x v="5"/>
    <n v="35"/>
    <n v="2"/>
    <n v="70"/>
    <n v="83.93"/>
    <x v="10"/>
    <x v="8"/>
    <s v="DE LAON"/>
    <n v="51100"/>
    <x v="10"/>
    <x v="10"/>
    <x v="2"/>
  </r>
  <r>
    <s v="FA-2008-0013"/>
    <d v="2024-09-02T00:00:00"/>
    <x v="7"/>
    <x v="7"/>
    <n v="55"/>
    <n v="4"/>
    <n v="217.84"/>
    <n v="261.19015999999999"/>
    <x v="8"/>
    <x v="9"/>
    <s v="TOVALSKI"/>
    <n v="33025"/>
    <x v="11"/>
    <x v="11"/>
    <x v="1"/>
  </r>
  <r>
    <s v="FA-2008-0013"/>
    <d v="2024-09-02T00:00:00"/>
    <x v="8"/>
    <x v="8"/>
    <n v="70"/>
    <n v="4"/>
    <n v="280"/>
    <n v="335.72"/>
    <x v="13"/>
    <x v="9"/>
    <s v="TOVALSKI"/>
    <n v="33025"/>
    <x v="11"/>
    <x v="11"/>
    <x v="1"/>
  </r>
  <r>
    <s v="FA-2008-0013"/>
    <d v="2024-09-02T00:00:00"/>
    <x v="10"/>
    <x v="9"/>
    <n v="370"/>
    <n v="1"/>
    <n v="370"/>
    <n v="443.63000000000005"/>
    <x v="11"/>
    <x v="9"/>
    <s v="TOVALSKI"/>
    <n v="33025"/>
    <x v="11"/>
    <x v="11"/>
    <x v="1"/>
  </r>
  <r>
    <s v="FA-2008-0012"/>
    <d v="2024-09-01T00:00:00"/>
    <x v="2"/>
    <x v="2"/>
    <n v="25"/>
    <n v="2"/>
    <n v="45.36"/>
    <n v="54.38664"/>
    <x v="7"/>
    <x v="8"/>
    <s v="DE LAON"/>
    <n v="51100"/>
    <x v="10"/>
    <x v="10"/>
    <x v="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s v="FA-2008-0001"/>
    <d v="2024-07-02T00:00:00"/>
    <x v="0"/>
    <s v="P9287"/>
    <x v="0"/>
    <n v="160"/>
    <n v="1"/>
    <n v="160"/>
    <n v="191.84"/>
    <n v="160"/>
    <n v="45496"/>
    <s v="NAUDEAU"/>
    <s v="89300"/>
    <x v="0"/>
    <x v="0"/>
    <x v="0"/>
  </r>
  <r>
    <s v="FA-2008-0002"/>
    <d v="2024-07-08T00:00:00"/>
    <x v="1"/>
    <s v="P6953"/>
    <x v="1"/>
    <n v="280"/>
    <n v="1"/>
    <n v="280"/>
    <n v="335.72"/>
    <n v="280"/>
    <n v="45502"/>
    <s v="MARITTO"/>
    <s v="53400"/>
    <x v="1"/>
    <x v="1"/>
    <x v="1"/>
  </r>
  <r>
    <s v="FA-2008-0002"/>
    <d v="2024-07-08T00:00:00"/>
    <x v="1"/>
    <s v="P3026"/>
    <x v="2"/>
    <n v="22"/>
    <n v="3"/>
    <n v="66"/>
    <n v="79.134"/>
    <n v="22"/>
    <n v="45502"/>
    <s v="MARITTO"/>
    <s v="53400"/>
    <x v="1"/>
    <x v="1"/>
    <x v="1"/>
  </r>
  <r>
    <s v="FA-2008-0003"/>
    <d v="2024-06-21T00:00:00"/>
    <x v="2"/>
    <s v="P5875"/>
    <x v="0"/>
    <n v="88"/>
    <n v="2"/>
    <n v="174.78"/>
    <n v="209.56122000000002"/>
    <n v="87.39"/>
    <n v="45485"/>
    <s v="BASCHET"/>
    <s v="92500"/>
    <x v="2"/>
    <x v="2"/>
    <x v="0"/>
  </r>
  <r>
    <s v="FA-2008-0004"/>
    <d v="2024-08-22T00:00:00"/>
    <x v="3"/>
    <s v="P1176"/>
    <x v="3"/>
    <n v="12"/>
    <n v="2"/>
    <n v="24"/>
    <n v="28.776000000000003"/>
    <n v="12"/>
    <n v="45547"/>
    <s v="GRASSET"/>
    <s v="23400"/>
    <x v="3"/>
    <x v="3"/>
    <x v="1"/>
  </r>
  <r>
    <s v="FA-2008-0004"/>
    <d v="2024-08-22T00:00:00"/>
    <x v="3"/>
    <s v="P7910"/>
    <x v="4"/>
    <n v="300"/>
    <n v="1"/>
    <n v="300"/>
    <n v="359.70000000000005"/>
    <n v="300"/>
    <n v="45547"/>
    <s v="GRASSET"/>
    <s v="23400"/>
    <x v="3"/>
    <x v="3"/>
    <x v="1"/>
  </r>
  <r>
    <s v="FA-2008-0004"/>
    <d v="2024-08-22T00:00:00"/>
    <x v="3"/>
    <s v="P3081"/>
    <x v="5"/>
    <n v="35"/>
    <n v="1"/>
    <n v="34.28"/>
    <n v="41.10172"/>
    <n v="34.28"/>
    <n v="45547"/>
    <s v="GRASSET"/>
    <s v="23400"/>
    <x v="3"/>
    <x v="3"/>
    <x v="1"/>
  </r>
  <r>
    <s v="FA-2008-0004"/>
    <d v="2024-08-22T00:00:00"/>
    <x v="3"/>
    <s v="P5875"/>
    <x v="6"/>
    <n v="88"/>
    <n v="2"/>
    <n v="174.78"/>
    <n v="209.56122000000002"/>
    <n v="87.39"/>
    <n v="45547"/>
    <s v="GRASSET"/>
    <s v="23400"/>
    <x v="3"/>
    <x v="3"/>
    <x v="1"/>
  </r>
  <r>
    <s v="FA-2008-0005"/>
    <d v="2024-06-22T00:00:00"/>
    <x v="2"/>
    <s v="P3026"/>
    <x v="2"/>
    <n v="23"/>
    <n v="10"/>
    <n v="226.8"/>
    <n v="271.93320000000006"/>
    <n v="22.68"/>
    <n v="45485"/>
    <s v="MINELLI"/>
    <s v="59700"/>
    <x v="4"/>
    <x v="4"/>
    <x v="0"/>
  </r>
  <r>
    <s v="FA-2008-0006"/>
    <d v="2024-08-11T00:00:00"/>
    <x v="4"/>
    <s v="P5665"/>
    <x v="7"/>
    <n v="54.5"/>
    <n v="6"/>
    <n v="326.76"/>
    <n v="391.78523999999999"/>
    <n v="54.46"/>
    <n v="45537"/>
    <s v="GALOTTI"/>
    <s v="64410"/>
    <x v="5"/>
    <x v="5"/>
    <x v="1"/>
  </r>
  <r>
    <s v="FA-2008-0007"/>
    <d v="2024-07-25T00:00:00"/>
    <x v="5"/>
    <s v="P3026"/>
    <x v="2"/>
    <n v="23"/>
    <n v="4"/>
    <n v="90.72"/>
    <n v="108.77328"/>
    <n v="22.68"/>
    <n v="45520"/>
    <s v="DANO"/>
    <s v="55400"/>
    <x v="6"/>
    <x v="6"/>
    <x v="2"/>
  </r>
  <r>
    <s v="FA-2008-0007"/>
    <d v="2024-07-25T00:00:00"/>
    <x v="5"/>
    <s v="P5026"/>
    <x v="8"/>
    <n v="74"/>
    <n v="4"/>
    <n v="293.16000000000003"/>
    <n v="351.49884000000003"/>
    <n v="73.290000000000006"/>
    <n v="45520"/>
    <s v="DANO"/>
    <s v="55400"/>
    <x v="6"/>
    <x v="6"/>
    <x v="2"/>
  </r>
  <r>
    <s v="FA-2008-0007"/>
    <d v="2024-07-25T00:00:00"/>
    <x v="5"/>
    <s v="P3108"/>
    <x v="5"/>
    <n v="35"/>
    <n v="3"/>
    <n v="105"/>
    <n v="125.89500000000001"/>
    <n v="35"/>
    <n v="45520"/>
    <s v="DANO"/>
    <s v="55400"/>
    <x v="6"/>
    <x v="6"/>
    <x v="2"/>
  </r>
  <r>
    <s v="FA-2008-0008"/>
    <d v="2024-08-11T00:00:00"/>
    <x v="4"/>
    <s v="P3026"/>
    <x v="2"/>
    <n v="23"/>
    <n v="2"/>
    <n v="45.36"/>
    <n v="54.38664"/>
    <n v="22.68"/>
    <n v="45537"/>
    <s v="GLORI"/>
    <s v="52400"/>
    <x v="7"/>
    <x v="7"/>
    <x v="2"/>
  </r>
  <r>
    <s v="FA-2008-0009"/>
    <d v="2024-08-23T00:00:00"/>
    <x v="6"/>
    <s v="P9167"/>
    <x v="9"/>
    <n v="370"/>
    <n v="1"/>
    <n v="370"/>
    <n v="443.63000000000005"/>
    <n v="370"/>
    <n v="45548"/>
    <s v="BASCHET"/>
    <s v="04210"/>
    <x v="8"/>
    <x v="8"/>
    <x v="1"/>
  </r>
  <r>
    <s v="FA-2008-0009"/>
    <d v="2024-08-23T00:00:00"/>
    <x v="6"/>
    <s v="P5665"/>
    <x v="7"/>
    <n v="54.5"/>
    <n v="4"/>
    <n v="217.84"/>
    <n v="261.19015999999999"/>
    <n v="54.46"/>
    <n v="45548"/>
    <s v="BASCHET"/>
    <s v="04210"/>
    <x v="8"/>
    <x v="8"/>
    <x v="1"/>
  </r>
  <r>
    <s v="FA-2008-0009"/>
    <d v="2024-08-23T00:00:00"/>
    <x v="6"/>
    <s v="P6953"/>
    <x v="1"/>
    <n v="282"/>
    <n v="1"/>
    <n v="282"/>
    <n v="338.11799999999999"/>
    <n v="282"/>
    <n v="45548"/>
    <s v="BASCHET"/>
    <s v="04210"/>
    <x v="8"/>
    <x v="8"/>
    <x v="1"/>
  </r>
  <r>
    <s v="FA-2008-0009"/>
    <d v="2024-08-23T00:00:00"/>
    <x v="6"/>
    <s v="P3081"/>
    <x v="5"/>
    <n v="35"/>
    <n v="2"/>
    <n v="68.56"/>
    <n v="82.203440000000001"/>
    <n v="34.28"/>
    <n v="45548"/>
    <s v="BASCHET"/>
    <s v="04210"/>
    <x v="8"/>
    <x v="8"/>
    <x v="1"/>
  </r>
  <r>
    <s v="FA-2008-0010"/>
    <d v="2024-07-22T00:00:00"/>
    <x v="7"/>
    <s v="P5665"/>
    <x v="7"/>
    <n v="54.5"/>
    <n v="1"/>
    <n v="54.46"/>
    <n v="65.297539999999998"/>
    <n v="54.46"/>
    <n v="45516"/>
    <s v="CEREJA"/>
    <s v="99 999"/>
    <x v="9"/>
    <x v="9"/>
    <x v="3"/>
  </r>
  <r>
    <s v="FA-2008-0010"/>
    <d v="2024-07-22T00:00:00"/>
    <x v="7"/>
    <s v="P5026"/>
    <x v="8"/>
    <n v="73.5"/>
    <n v="2"/>
    <n v="146.58000000000001"/>
    <n v="175.74942000000001"/>
    <n v="73.290000000000006"/>
    <n v="45516"/>
    <s v="CEREJA"/>
    <s v="99 999"/>
    <x v="9"/>
    <x v="9"/>
    <x v="3"/>
  </r>
  <r>
    <s v="FA-2008-0011"/>
    <d v="2024-09-01T00:00:00"/>
    <x v="8"/>
    <s v="P9167"/>
    <x v="9"/>
    <n v="370"/>
    <n v="1"/>
    <n v="370"/>
    <n v="443.63000000000005"/>
    <n v="370"/>
    <n v="45555"/>
    <s v="MINELLI"/>
    <s v="59700"/>
    <x v="4"/>
    <x v="4"/>
    <x v="0"/>
  </r>
  <r>
    <s v="FA-2008-0012"/>
    <d v="2024-09-01T00:00:00"/>
    <x v="8"/>
    <s v="P3108"/>
    <x v="5"/>
    <n v="35"/>
    <n v="2"/>
    <n v="70"/>
    <n v="83.93"/>
    <n v="35"/>
    <n v="45555"/>
    <s v="DE LAON"/>
    <n v="51100"/>
    <x v="10"/>
    <x v="10"/>
    <x v="2"/>
  </r>
  <r>
    <s v="FA-2008-0013"/>
    <d v="2024-09-02T00:00:00"/>
    <x v="9"/>
    <s v="P5665"/>
    <x v="7"/>
    <n v="55"/>
    <n v="4"/>
    <n v="217.84"/>
    <n v="261.19015999999999"/>
    <n v="54.46"/>
    <n v="45558"/>
    <s v="TOVALSKI"/>
    <n v="33025"/>
    <x v="11"/>
    <x v="11"/>
    <x v="1"/>
  </r>
  <r>
    <s v="FA-2008-0013"/>
    <d v="2024-09-02T00:00:00"/>
    <x v="9"/>
    <s v="P5026"/>
    <x v="8"/>
    <n v="70"/>
    <n v="4"/>
    <n v="280"/>
    <n v="335.72"/>
    <n v="70"/>
    <n v="45558"/>
    <s v="TOVALSKI"/>
    <n v="33025"/>
    <x v="11"/>
    <x v="11"/>
    <x v="1"/>
  </r>
  <r>
    <s v="FA-2008-0013"/>
    <d v="2024-09-02T00:00:00"/>
    <x v="9"/>
    <s v="P9167"/>
    <x v="9"/>
    <n v="370"/>
    <n v="1"/>
    <n v="370"/>
    <n v="443.63000000000005"/>
    <n v="370"/>
    <n v="45558"/>
    <s v="TOVALSKI"/>
    <n v="33025"/>
    <x v="11"/>
    <x v="11"/>
    <x v="1"/>
  </r>
  <r>
    <s v="FA-2008-0012"/>
    <d v="2024-09-01T00:00:00"/>
    <x v="8"/>
    <s v="P3026"/>
    <x v="2"/>
    <n v="25"/>
    <n v="2"/>
    <n v="45.36"/>
    <n v="54.38664"/>
    <n v="22.68"/>
    <n v="45555"/>
    <s v="DE LAON"/>
    <n v="51100"/>
    <x v="10"/>
    <x v="10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65AF10B-2DB6-BE4E-B90B-A5110A1DCC6A}" name="Tableau croisé dynamique3" cacheId="25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 rowHeaderCaption="Prix Prod">
  <location ref="G3:H14" firstHeaderRow="1" firstDataRow="1" firstDataCol="1"/>
  <pivotFields count="15">
    <pivotField showAll="0"/>
    <pivotField numFmtId="14" showAll="0"/>
    <pivotField showAll="0"/>
    <pivotField showAll="0"/>
    <pivotField numFmtId="44" showAll="0"/>
    <pivotField dataField="1" showAll="0"/>
    <pivotField numFmtId="44" showAll="0"/>
    <pivotField numFmtId="44" showAll="0"/>
    <pivotField axis="axisRow" numFmtId="44" showAl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t="default"/>
      </items>
    </pivotField>
    <pivotField numFmtId="14" showAll="0"/>
    <pivotField showAll="0"/>
    <pivotField showAll="0"/>
    <pivotField showAll="0"/>
    <pivotField showAll="0"/>
    <pivotField showAll="0"/>
  </pivotFields>
  <rowFields count="1">
    <field x="8"/>
  </rowFields>
  <rowItems count="11">
    <i>
      <x v="1"/>
    </i>
    <i>
      <x v="2"/>
    </i>
    <i>
      <x v="3"/>
    </i>
    <i>
      <x v="5"/>
    </i>
    <i>
      <x v="7"/>
    </i>
    <i>
      <x v="8"/>
    </i>
    <i>
      <x v="16"/>
    </i>
    <i>
      <x v="28"/>
    </i>
    <i>
      <x v="30"/>
    </i>
    <i>
      <x v="37"/>
    </i>
    <i t="grand">
      <x/>
    </i>
  </rowItems>
  <colItems count="1">
    <i/>
  </colItems>
  <dataFields count="1">
    <dataField name="Somme de Quantité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A6C567-6FEB-0F4D-B0D0-8866A5831064}" name="Tableau croisé dynamique2" cacheId="25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 rowHeaderCaption="Produits">
  <location ref="A3:D26" firstHeaderRow="0" firstDataRow="1" firstDataCol="1"/>
  <pivotFields count="15">
    <pivotField showAll="0"/>
    <pivotField numFmtId="14" showAll="0"/>
    <pivotField axis="axisRow" showAll="0">
      <items count="12">
        <item x="4"/>
        <item x="2"/>
        <item x="6"/>
        <item x="9"/>
        <item x="8"/>
        <item x="7"/>
        <item x="3"/>
        <item x="1"/>
        <item x="5"/>
        <item x="10"/>
        <item x="0"/>
        <item t="default"/>
      </items>
    </pivotField>
    <pivotField axis="axisRow" showAll="0">
      <items count="11">
        <item x="8"/>
        <item x="3"/>
        <item x="1"/>
        <item x="4"/>
        <item x="2"/>
        <item x="0"/>
        <item x="6"/>
        <item x="9"/>
        <item x="7"/>
        <item x="5"/>
        <item t="default"/>
      </items>
    </pivotField>
    <pivotField numFmtId="44" showAll="0"/>
    <pivotField dataField="1" showAll="0"/>
    <pivotField dataField="1" numFmtId="44" showAll="0"/>
    <pivotField numFmtId="44" showAll="0"/>
    <pivotField numFmtId="44" showAl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t="default"/>
      </items>
    </pivotField>
    <pivotField numFmtId="14" showAll="0"/>
    <pivotField showAll="0"/>
    <pivotField showAll="0"/>
    <pivotField showAll="0"/>
    <pivotField showAll="0"/>
    <pivotField showAll="0"/>
  </pivotFields>
  <rowFields count="2">
    <field x="3"/>
    <field x="2"/>
  </rowFields>
  <rowItems count="23">
    <i>
      <x/>
    </i>
    <i r="1">
      <x v="4"/>
    </i>
    <i>
      <x v="1"/>
    </i>
    <i r="1">
      <x/>
    </i>
    <i>
      <x v="2"/>
    </i>
    <i r="1">
      <x v="7"/>
    </i>
    <i>
      <x v="3"/>
    </i>
    <i r="1">
      <x v="8"/>
    </i>
    <i>
      <x v="4"/>
    </i>
    <i r="1">
      <x v="1"/>
    </i>
    <i>
      <x v="5"/>
    </i>
    <i r="1">
      <x v="6"/>
    </i>
    <i r="1">
      <x v="10"/>
    </i>
    <i>
      <x v="6"/>
    </i>
    <i r="1">
      <x v="6"/>
    </i>
    <i>
      <x v="7"/>
    </i>
    <i r="1">
      <x v="9"/>
    </i>
    <i>
      <x v="8"/>
    </i>
    <i r="1">
      <x v="5"/>
    </i>
    <i>
      <x v="9"/>
    </i>
    <i r="1">
      <x v="2"/>
    </i>
    <i r="1"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omme de Quantité" fld="5" baseField="0" baseItem="0"/>
    <dataField name="Somme de Prix HT" fld="6" baseField="0" baseItem="0" numFmtId="44"/>
    <dataField name="% Tot gén" fld="6" showDataAs="percentOfTotal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A8A992-2BC4-EF41-B5AA-47096C8E1378}" name="Tableau croisé dynamique2" cacheId="25" applyNumberFormats="0" applyBorderFormats="0" applyFontFormats="0" applyPatternFormats="0" applyAlignmentFormats="0" applyWidthHeightFormats="1" dataCaption="Valeurs" updatedVersion="8" minRefreshableVersion="5" itemPrintTitles="1" mergeItem="1" createdVersion="8" indent="0" outline="1" outlineData="1" multipleFieldFilters="0" rowHeaderCaption="Depts &amp; Villes">
  <location ref="A15:E40" firstHeaderRow="0" firstDataRow="1" firstDataCol="1"/>
  <pivotFields count="15">
    <pivotField showAll="0"/>
    <pivotField numFmtId="14" showAll="0"/>
    <pivotField showAll="0"/>
    <pivotField showAll="0">
      <items count="11">
        <item x="8"/>
        <item x="3"/>
        <item x="1"/>
        <item x="4"/>
        <item x="2"/>
        <item x="0"/>
        <item x="6"/>
        <item x="9"/>
        <item x="7"/>
        <item x="5"/>
        <item t="default"/>
      </items>
    </pivotField>
    <pivotField numFmtId="44" showAll="0"/>
    <pivotField dataField="1" showAll="0"/>
    <pivotField dataField="1" numFmtId="44" showAll="0"/>
    <pivotField numFmtId="44" showAll="0"/>
    <pivotField dataField="1" numFmtId="44" showAl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t="default"/>
      </items>
    </pivotField>
    <pivotField numFmtId="14" showAll="0">
      <items count="11">
        <item x="2"/>
        <item x="0"/>
        <item x="1"/>
        <item x="7"/>
        <item x="5"/>
        <item x="4"/>
        <item x="3"/>
        <item x="6"/>
        <item x="8"/>
        <item x="9"/>
        <item t="default"/>
      </items>
    </pivotField>
    <pivotField showAll="0"/>
    <pivotField showAll="0"/>
    <pivotField axis="axisRow" showAll="0">
      <items count="13">
        <item x="7"/>
        <item x="5"/>
        <item x="3"/>
        <item x="11"/>
        <item x="6"/>
        <item x="8"/>
        <item x="4"/>
        <item x="10"/>
        <item x="2"/>
        <item x="9"/>
        <item x="0"/>
        <item x="1"/>
        <item t="default"/>
      </items>
    </pivotField>
    <pivotField axis="axisRow" showAll="0">
      <items count="13">
        <item x="8"/>
        <item x="3"/>
        <item x="11"/>
        <item x="10"/>
        <item x="7"/>
        <item x="1"/>
        <item x="6"/>
        <item x="4"/>
        <item x="5"/>
        <item x="0"/>
        <item x="2"/>
        <item x="9"/>
        <item t="default"/>
      </items>
    </pivotField>
    <pivotField showAll="0"/>
  </pivotFields>
  <rowFields count="2">
    <field x="13"/>
    <field x="12"/>
  </rowFields>
  <rowItems count="25">
    <i>
      <x/>
    </i>
    <i r="1">
      <x v="5"/>
    </i>
    <i>
      <x v="1"/>
    </i>
    <i r="1">
      <x v="2"/>
    </i>
    <i>
      <x v="2"/>
    </i>
    <i r="1">
      <x v="3"/>
    </i>
    <i>
      <x v="3"/>
    </i>
    <i r="1">
      <x v="7"/>
    </i>
    <i>
      <x v="4"/>
    </i>
    <i r="1">
      <x/>
    </i>
    <i>
      <x v="5"/>
    </i>
    <i r="1">
      <x v="11"/>
    </i>
    <i>
      <x v="6"/>
    </i>
    <i r="1">
      <x v="4"/>
    </i>
    <i>
      <x v="7"/>
    </i>
    <i r="1">
      <x v="6"/>
    </i>
    <i>
      <x v="8"/>
    </i>
    <i r="1">
      <x v="1"/>
    </i>
    <i>
      <x v="9"/>
    </i>
    <i r="1">
      <x v="10"/>
    </i>
    <i>
      <x v="10"/>
    </i>
    <i r="1">
      <x v="8"/>
    </i>
    <i>
      <x v="11"/>
    </i>
    <i r="1">
      <x v="9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Qte vendue" fld="5" baseField="0" baseItem="0"/>
    <dataField name="coût prod" fld="8" baseField="0" baseItem="0" numFmtId="168"/>
    <dataField name="Somme HT" fld="6" baseField="0" baseItem="0" numFmtId="168"/>
    <dataField name="% Total HT" fld="6" showDataAs="percentOfTotal" baseField="0" baseItem="0" numFmtId="10"/>
  </dataFields>
  <pivotTableStyleInfo name="PivotStyleLight16" showRowHeaders="1" showColHeaders="1" showRowStripes="0" showColStripes="0" showLastColumn="1"/>
  <filters count="1">
    <filter fld="9" type="dateBetween" evalOrder="-1" id="7" name="Date Livraison">
      <autoFilter ref="A1">
        <filterColumn colId="0">
          <customFilters and="1">
            <customFilter operator="greaterThanOrEqual" val="45292"/>
            <customFilter operator="lessThanOrEqual" val="45565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761D64C-E423-CC43-931B-FF32774D7760}" name="Tableau croisé dynamique1" cacheId="25" applyNumberFormats="0" applyBorderFormats="0" applyFontFormats="0" applyPatternFormats="0" applyAlignmentFormats="0" applyWidthHeightFormats="1" dataCaption="Valeurs" updatedVersion="8" minRefreshableVersion="5" itemPrintTitles="1" mergeItem="1" createdVersion="8" indent="0" outline="1" outlineData="1" multipleFieldFilters="0" rowHeaderCaption="Transporteurs">
  <location ref="A3:C8" firstHeaderRow="0" firstDataRow="1" firstDataCol="1"/>
  <pivotFields count="15">
    <pivotField showAll="0"/>
    <pivotField numFmtId="14" showAll="0"/>
    <pivotField showAll="0">
      <items count="12">
        <item x="4"/>
        <item x="2"/>
        <item x="6"/>
        <item x="9"/>
        <item x="8"/>
        <item x="7"/>
        <item x="3"/>
        <item x="1"/>
        <item x="5"/>
        <item x="10"/>
        <item x="0"/>
        <item t="default"/>
      </items>
    </pivotField>
    <pivotField showAll="0">
      <items count="11">
        <item x="8"/>
        <item x="3"/>
        <item x="1"/>
        <item x="4"/>
        <item x="2"/>
        <item x="0"/>
        <item x="6"/>
        <item x="9"/>
        <item x="7"/>
        <item x="5"/>
        <item t="default"/>
      </items>
    </pivotField>
    <pivotField numFmtId="44" showAll="0"/>
    <pivotField dataField="1" showAll="0"/>
    <pivotField numFmtId="44" showAll="0"/>
    <pivotField numFmtId="44" showAll="0"/>
    <pivotField dataField="1" numFmtId="44" showAl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t="default"/>
      </items>
    </pivotField>
    <pivotField numFmtId="14" showAll="0">
      <items count="11">
        <item x="2"/>
        <item x="0"/>
        <item x="1"/>
        <item x="7"/>
        <item x="5"/>
        <item x="4"/>
        <item x="3"/>
        <item x="6"/>
        <item x="8"/>
        <item x="9"/>
        <item t="default"/>
      </items>
    </pivotField>
    <pivotField showAll="0"/>
    <pivotField showAll="0"/>
    <pivotField showAll="0">
      <items count="13">
        <item x="7"/>
        <item x="5"/>
        <item x="3"/>
        <item x="11"/>
        <item x="6"/>
        <item x="8"/>
        <item x="4"/>
        <item x="10"/>
        <item x="2"/>
        <item x="9"/>
        <item x="0"/>
        <item x="1"/>
        <item t="default"/>
      </items>
    </pivotField>
    <pivotField showAll="0">
      <items count="13">
        <item x="8"/>
        <item x="3"/>
        <item x="11"/>
        <item x="10"/>
        <item x="7"/>
        <item x="1"/>
        <item x="6"/>
        <item x="4"/>
        <item x="5"/>
        <item x="0"/>
        <item x="2"/>
        <item x="9"/>
        <item t="default"/>
      </items>
    </pivotField>
    <pivotField axis="axisRow" showAll="0">
      <items count="5">
        <item x="3"/>
        <item x="2"/>
        <item x="1"/>
        <item x="0"/>
        <item t="default"/>
      </items>
    </pivotField>
  </pivotFields>
  <rowFields count="1">
    <field x="14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Qte vendue" fld="5" baseField="0" baseItem="0"/>
    <dataField name="coût prod" fld="8" baseField="0" baseItem="0" numFmtId="168"/>
  </dataFields>
  <pivotTableStyleInfo name="PivotStyleLight16" showRowHeaders="1" showColHeaders="1" showRowStripes="0" showColStripes="0" showLastColumn="1"/>
  <filters count="1">
    <filter fld="9" type="dateBetween" evalOrder="-1" id="7" name="Date Livraison">
      <autoFilter ref="A1">
        <filterColumn colId="0">
          <customFilters and="1">
            <customFilter operator="greaterThanOrEqual" val="45292"/>
            <customFilter operator="lessThanOrEqual" val="45565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C9A27D3-AF01-174E-82FA-619C1CE02C95}" name="Tableau croisé dynamique1" cacheId="1" applyNumberFormats="0" applyBorderFormats="0" applyFontFormats="0" applyPatternFormats="0" applyAlignmentFormats="0" applyWidthHeightFormats="1" dataCaption="Valeurs" updatedVersion="8" minRefreshableVersion="5" itemPrintTitles="1" mergeItem="1" createdVersion="8" indent="0" outline="1" outlineData="1" multipleFieldFilters="0" rowHeaderCaption="Transporteurs">
  <location ref="A1:C6" firstHeaderRow="0" firstDataRow="1" firstDataCol="1"/>
  <pivotFields count="16">
    <pivotField showAll="0"/>
    <pivotField numFmtId="14" showAll="0"/>
    <pivotField numFmtId="44" showAll="0">
      <items count="11">
        <item x="2"/>
        <item x="0"/>
        <item x="1"/>
        <item x="7"/>
        <item x="5"/>
        <item x="4"/>
        <item x="3"/>
        <item x="6"/>
        <item x="8"/>
        <item x="9"/>
        <item t="default"/>
      </items>
    </pivotField>
    <pivotField showAll="0"/>
    <pivotField showAll="0">
      <items count="11">
        <item x="8"/>
        <item x="3"/>
        <item x="1"/>
        <item x="4"/>
        <item x="2"/>
        <item x="0"/>
        <item x="6"/>
        <item x="9"/>
        <item x="7"/>
        <item x="5"/>
        <item t="default"/>
      </items>
    </pivotField>
    <pivotField numFmtId="44" showAll="0"/>
    <pivotField dataField="1" showAll="0"/>
    <pivotField numFmtId="44" showAll="0"/>
    <pivotField numFmtId="44" showAll="0"/>
    <pivotField dataField="1" numFmtId="44" showAll="0"/>
    <pivotField numFmtId="44" showAll="0"/>
    <pivotField showAll="0"/>
    <pivotField showAll="0"/>
    <pivotField showAll="0"/>
    <pivotField numFmtId="44" showAll="0"/>
    <pivotField axis="axisRow" showAll="0">
      <items count="5">
        <item x="3"/>
        <item x="2"/>
        <item x="1"/>
        <item x="0"/>
        <item t="default"/>
      </items>
    </pivotField>
  </pivotFields>
  <rowFields count="1">
    <field x="15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Qte vendue" fld="6" baseField="0" baseItem="0"/>
    <dataField name="Cout prod" fld="9" baseField="0" baseItem="0" numFmtId="16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20A3427-7C16-9A45-9EB7-2B8ABCB608F3}" name="Tableau croisé dynamique2" cacheId="1" applyNumberFormats="0" applyBorderFormats="0" applyFontFormats="0" applyPatternFormats="0" applyAlignmentFormats="0" applyWidthHeightFormats="1" dataCaption="Valeurs" updatedVersion="8" minRefreshableVersion="5" itemPrintTitles="1" mergeItem="1" createdVersion="8" indent="0" outline="1" outlineData="1" multipleFieldFilters="0">
  <location ref="A12:E37" firstHeaderRow="0" firstDataRow="1" firstDataCol="1"/>
  <pivotFields count="16">
    <pivotField showAll="0"/>
    <pivotField numFmtId="14" showAll="0"/>
    <pivotField numFmtId="44" showAll="0">
      <items count="11">
        <item x="2"/>
        <item x="0"/>
        <item x="1"/>
        <item x="7"/>
        <item x="5"/>
        <item x="4"/>
        <item x="3"/>
        <item x="6"/>
        <item x="8"/>
        <item x="9"/>
        <item t="default"/>
      </items>
    </pivotField>
    <pivotField showAll="0"/>
    <pivotField showAll="0">
      <items count="11">
        <item x="8"/>
        <item x="3"/>
        <item x="1"/>
        <item x="4"/>
        <item x="2"/>
        <item x="0"/>
        <item x="6"/>
        <item x="9"/>
        <item x="7"/>
        <item x="5"/>
        <item t="default"/>
      </items>
    </pivotField>
    <pivotField numFmtId="44" showAll="0"/>
    <pivotField dataField="1" showAll="0"/>
    <pivotField dataField="1" numFmtId="44" showAll="0"/>
    <pivotField numFmtId="44" showAll="0"/>
    <pivotField dataField="1" numFmtId="44" showAll="0"/>
    <pivotField numFmtId="44" showAll="0"/>
    <pivotField showAll="0"/>
    <pivotField showAll="0"/>
    <pivotField axis="axisRow" showAll="0">
      <items count="13">
        <item x="7"/>
        <item x="5"/>
        <item x="3"/>
        <item x="11"/>
        <item x="6"/>
        <item x="8"/>
        <item x="4"/>
        <item x="10"/>
        <item x="2"/>
        <item x="9"/>
        <item x="0"/>
        <item x="1"/>
        <item t="default"/>
      </items>
    </pivotField>
    <pivotField axis="axisRow" showAll="0">
      <items count="13">
        <item x="8"/>
        <item x="3"/>
        <item x="11"/>
        <item x="10"/>
        <item x="7"/>
        <item x="1"/>
        <item x="6"/>
        <item x="4"/>
        <item x="5"/>
        <item x="0"/>
        <item x="2"/>
        <item x="9"/>
        <item t="default"/>
      </items>
    </pivotField>
    <pivotField showAll="0"/>
  </pivotFields>
  <rowFields count="2">
    <field x="14"/>
    <field x="13"/>
  </rowFields>
  <rowItems count="25">
    <i>
      <x/>
    </i>
    <i r="1">
      <x v="5"/>
    </i>
    <i>
      <x v="1"/>
    </i>
    <i r="1">
      <x v="2"/>
    </i>
    <i>
      <x v="2"/>
    </i>
    <i r="1">
      <x v="3"/>
    </i>
    <i>
      <x v="3"/>
    </i>
    <i r="1">
      <x v="7"/>
    </i>
    <i>
      <x v="4"/>
    </i>
    <i r="1">
      <x/>
    </i>
    <i>
      <x v="5"/>
    </i>
    <i r="1">
      <x v="11"/>
    </i>
    <i>
      <x v="6"/>
    </i>
    <i r="1">
      <x v="4"/>
    </i>
    <i>
      <x v="7"/>
    </i>
    <i r="1">
      <x v="6"/>
    </i>
    <i>
      <x v="8"/>
    </i>
    <i r="1">
      <x v="1"/>
    </i>
    <i>
      <x v="9"/>
    </i>
    <i r="1">
      <x v="10"/>
    </i>
    <i>
      <x v="10"/>
    </i>
    <i r="1">
      <x v="8"/>
    </i>
    <i>
      <x v="11"/>
    </i>
    <i r="1">
      <x v="9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Qte vendue" fld="6" baseField="0" baseItem="0"/>
    <dataField name="Cout prod" fld="9" baseField="0" baseItem="0" numFmtId="168"/>
    <dataField name="Somme Prix HT" fld="7" baseField="0" baseItem="0" numFmtId="168"/>
    <dataField name="% Total Prix HT" fld="7" showDataAs="percentOfTotal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FC2C3DE6-E54E-6146-B20C-A99C6D4DA97A}" autoFormatId="16" applyNumberFormats="0" applyBorderFormats="0" applyFontFormats="0" applyPatternFormats="0" applyAlignmentFormats="0" applyWidthHeightFormats="0">
  <queryTableRefresh nextId="4">
    <queryTableFields count="3">
      <queryTableField id="1" name="Code produit" tableColumnId="1"/>
      <queryTableField id="2" name="Description" tableColumnId="2"/>
      <queryTableField id="3" name="Prix Unit" tableColumnId="3"/>
    </queryTableFields>
  </queryTableRefresh>
</queryTable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Description" xr10:uid="{EC452051-91EE-3742-B1D0-2FCA67C990C7}" sourceName="Description">
  <pivotTables>
    <pivotTable tabId="9" name="Tableau croisé dynamique1"/>
    <pivotTable tabId="9" name="Tableau croisé dynamique2"/>
  </pivotTables>
  <data>
    <tabular pivotCacheId="515676178">
      <items count="10">
        <i x="8" s="1"/>
        <i x="3" s="1"/>
        <i x="1" s="1"/>
        <i x="4" s="1"/>
        <i x="2" s="1"/>
        <i x="0" s="1"/>
        <i x="6" s="1"/>
        <i x="9" s="1"/>
        <i x="7" s="1"/>
        <i x="5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Description1" xr10:uid="{34252BEF-F212-104A-9DC5-05F10B6A89BC}" sourceName="Description">
  <pivotTables>
    <pivotTable tabId="10" name="Tableau croisé dynamique2"/>
    <pivotTable tabId="10" name="Tableau croisé dynamique1"/>
  </pivotTables>
  <data>
    <tabular pivotCacheId="1507892684">
      <items count="10">
        <i x="8" s="1"/>
        <i x="3" s="1"/>
        <i x="1" s="1"/>
        <i x="4" s="1"/>
        <i x="2" s="1"/>
        <i x="0" s="1"/>
        <i x="6" s="1"/>
        <i x="9" s="1"/>
        <i x="7" s="1"/>
        <i x="5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escription" xr10:uid="{50C20620-B2D5-6146-9F36-292290240719}" cache="Segment_Description" caption="Description" rowHeight="294216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escription 1" xr10:uid="{E64CA552-3BBD-D24A-837D-3FB1DC81CF5F}" cache="Segment_Description1" caption="Description (décaler)" rowHeight="294216"/>
</slicers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0B765F-3367-2649-B953-DA69D8885EC1}" name="catalogue" displayName="catalogue" ref="A1:C16" tableType="queryTable" totalsRowShown="0">
  <autoFilter ref="A1:C16" xr:uid="{8D0B765F-3367-2649-B953-DA69D8885EC1}"/>
  <tableColumns count="3">
    <tableColumn id="1" xr3:uid="{F667C3EE-4A91-AD4B-A294-14F596AEBA1C}" uniqueName="1" name="Code produit" queryTableFieldId="1" dataDxfId="9"/>
    <tableColumn id="2" xr3:uid="{AC3B05C9-9E96-F140-A67C-E10DE02CB27E}" uniqueName="2" name="Description" queryTableFieldId="2" dataDxfId="8"/>
    <tableColumn id="3" xr3:uid="{2BC8599E-FABE-324C-970C-CA5199B86C78}" uniqueName="3" name="Prix Unit" queryTableFieldId="3" dataCellStyle="Monétaire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1AE33C7-BE31-4048-97F0-609C76D702D5}" name="TabVentes" displayName="TabVentes" ref="A5:O31" totalsRowShown="0" headerRowDxfId="7">
  <autoFilter ref="A5:O31" xr:uid="{B1AE33C7-BE31-4048-97F0-609C76D702D5}"/>
  <tableColumns count="15">
    <tableColumn id="1" xr3:uid="{98A3B84D-E546-7343-AAE6-7CB71791895E}" name="N° Facture"/>
    <tableColumn id="2" xr3:uid="{3779054E-ECA9-D145-903C-30340D625875}" name="Date" dataDxfId="6">
      <calculatedColumnFormula>VLOOKUP($A6,Factures!$A:$C,2,FALSE)</calculatedColumnFormula>
    </tableColumn>
    <tableColumn id="3" xr3:uid="{65088D01-72B9-E04C-82E8-9A72FFDC5F15}" name="Produit"/>
    <tableColumn id="4" xr3:uid="{66AE8CE3-7414-074B-AA3C-E8D5C615F949}" name="Description"/>
    <tableColumn id="5" xr3:uid="{A1D9118E-6C79-154E-91D8-B4075630F5B0}" name="Prix Unit" dataDxfId="5" dataCellStyle="Monétaire"/>
    <tableColumn id="6" xr3:uid="{890F93C8-04B8-3F48-86FD-9E335927C291}" name="Quantité"/>
    <tableColumn id="7" xr3:uid="{5A77D2EA-A8EC-B04B-A273-AE21BA991320}" name="Prix HT" dataDxfId="1">
      <calculatedColumnFormula>IF(I6&lt;E6,I6,E6) * F6</calculatedColumnFormula>
    </tableColumn>
    <tableColumn id="8" xr3:uid="{4832C72A-EDD0-D148-A854-FD666DBF8038}" name="Prix TTC" dataDxfId="4">
      <calculatedColumnFormula>G6*(1+TVA)</calculatedColumnFormula>
    </tableColumn>
    <tableColumn id="9" xr3:uid="{6FA3AFBF-2516-734C-9613-F4F3B8918D53}" name="Prix Prod" dataDxfId="2" dataCellStyle="Monétaire">
      <calculatedColumnFormula>VLOOKUP($C6,'catalogue'!$A:$C,3,FALSE)</calculatedColumnFormula>
    </tableColumn>
    <tableColumn id="10" xr3:uid="{07A8C2C5-0974-AB42-B4A7-434EC86AB120}" name="Date Livraison" dataDxfId="3">
      <calculatedColumnFormula>VLOOKUP(A6,Facture,3,FALSE)</calculatedColumnFormula>
    </tableColumn>
    <tableColumn id="11" xr3:uid="{EB57D109-6F08-B04E-A553-C1BF1158C5E0}" name="Nom">
      <calculatedColumnFormula>_xlfn.XLOOKUP($A6,Factures!$A:$A,Factures!E:E,"",0)</calculatedColumnFormula>
    </tableColumn>
    <tableColumn id="12" xr3:uid="{F4507049-E370-7444-9ADC-276A53AC14B0}" name="Code postal">
      <calculatedColumnFormula>_xlfn.XLOOKUP($A6,Factures!$A:$A,Factures!F:F,"",0)</calculatedColumnFormula>
    </tableColumn>
    <tableColumn id="13" xr3:uid="{B9B4B7F4-7E49-CC4A-A1E0-4D865FF2BA2A}" name="ville">
      <calculatedColumnFormula>_xlfn.XLOOKUP($A6,Factures!$A:$A,Factures!G:G,"",0)</calculatedColumnFormula>
    </tableColumn>
    <tableColumn id="14" xr3:uid="{A3D492AF-A650-CE40-9612-9BA3A0462E60}" name="Department">
      <calculatedColumnFormula>_xlfn.XLOOKUP($A6,Factures!$A:$A,Factures!M:M,"",0)</calculatedColumnFormula>
    </tableColumn>
    <tableColumn id="15" xr3:uid="{BCB9B975-41C8-C04C-B0B9-2A8BBC6F0FAB}" name="Transp">
      <calculatedColumnFormula>_xlfn.XLOOKUP($A6,Factures!$A:$A,Factures!N:N,"",0)</calculatedColumnFormula>
    </tableColumn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ChronologieNative_Date_Livraison" xr10:uid="{7A0DDAB9-3375-5540-8AD2-9160D4710219}" sourceName="Date Livraison">
  <pivotTables>
    <pivotTable tabId="9" name="Tableau croisé dynamique1"/>
    <pivotTable tabId="9" name="Tableau croisé dynamique2"/>
  </pivotTables>
  <state minimalRefreshVersion="6" lastRefreshVersion="6" pivotCacheId="515676178" filterType="dateBetween">
    <selection startDate="2024-01-01T00:00:00" endDate="2024-09-30T00:00:00"/>
    <bounds startDate="2024-01-01T00:00:00" endDate="2025-01-01T00:00:00"/>
  </state>
</timelineCacheDefinition>
</file>

<file path=xl/timelineCaches/timelineCache2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ChronologieNative_Date_Livraison1" xr10:uid="{A4F013C9-B9A3-C045-B77B-738455042CC5}" sourceName="Date Livraison">
  <pivotTables>
    <pivotTable tabId="10" name="Tableau croisé dynamique2"/>
    <pivotTable tabId="10" name="Tableau croisé dynamique1"/>
  </pivotTables>
  <state minimalRefreshVersion="6" lastRefreshVersion="6" pivotCacheId="1507892684" filterType="unknown">
    <bounds startDate="2024-01-01T00:00:00" endDate="2025-01-01T00:00:00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Date Livraison" xr10:uid="{B3D79B96-943F-3A4B-B9FA-58CDBA0891AA}" cache="ChronologieNative_Date_Livraison" caption="Date Livraison" level="2" selectionLevel="1" scrollPosition="2024-06-30T00:00:00"/>
</timelines>
</file>

<file path=xl/timelines/timeline2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Date Livraison 1" xr10:uid="{2719F683-7D5A-3847-BD5F-A1B622B5C3CC}" cache="ChronologieNative_Date_Livraison1" caption="Date Livraison (décaler)" level="2" selectionLevel="2" scrollPosition="2024-06-30T00:00:00"/>
</timeline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Relationship Id="rId5" Type="http://schemas.microsoft.com/office/2011/relationships/timeline" Target="../timelines/timeline1.xml"/><Relationship Id="rId4" Type="http://schemas.microsoft.com/office/2007/relationships/slicer" Target="../slicers/slicer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Relationship Id="rId5" Type="http://schemas.microsoft.com/office/2011/relationships/timeline" Target="../timelines/timeline2.xml"/><Relationship Id="rId4" Type="http://schemas.microsoft.com/office/2007/relationships/slicer" Target="../slicers/slicer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A39CF-E425-9843-A957-03274473B218}">
  <dimension ref="A1:C16"/>
  <sheetViews>
    <sheetView workbookViewId="0">
      <selection activeCell="B3" sqref="B3"/>
    </sheetView>
  </sheetViews>
  <sheetFormatPr baseColWidth="10" defaultRowHeight="19" x14ac:dyDescent="0.25"/>
  <cols>
    <col min="1" max="1" width="14.28515625" style="17" bestFit="1" customWidth="1"/>
    <col min="2" max="2" width="32.7109375" bestFit="1" customWidth="1"/>
    <col min="3" max="3" width="11.7109375" customWidth="1"/>
  </cols>
  <sheetData>
    <row r="1" spans="1:3" x14ac:dyDescent="0.25">
      <c r="A1" s="17" t="s">
        <v>224</v>
      </c>
      <c r="B1" t="s">
        <v>3</v>
      </c>
      <c r="C1" t="s">
        <v>4</v>
      </c>
    </row>
    <row r="2" spans="1:3" x14ac:dyDescent="0.25">
      <c r="A2" s="17" t="s">
        <v>62</v>
      </c>
      <c r="B2" t="s">
        <v>225</v>
      </c>
      <c r="C2" s="13">
        <v>12.16</v>
      </c>
    </row>
    <row r="3" spans="1:3" x14ac:dyDescent="0.25">
      <c r="A3" s="17" t="s">
        <v>63</v>
      </c>
      <c r="B3" t="s">
        <v>75</v>
      </c>
      <c r="C3" s="13">
        <v>22.68</v>
      </c>
    </row>
    <row r="4" spans="1:3" x14ac:dyDescent="0.25">
      <c r="A4" s="17" t="s">
        <v>64</v>
      </c>
      <c r="B4" t="s">
        <v>78</v>
      </c>
      <c r="C4" s="13">
        <v>34.28</v>
      </c>
    </row>
    <row r="5" spans="1:3" x14ac:dyDescent="0.25">
      <c r="A5" s="17" t="s">
        <v>65</v>
      </c>
      <c r="B5" t="s">
        <v>229</v>
      </c>
      <c r="C5" s="13">
        <v>95.51</v>
      </c>
    </row>
    <row r="6" spans="1:3" x14ac:dyDescent="0.25">
      <c r="A6" s="17" t="s">
        <v>66</v>
      </c>
      <c r="B6" t="s">
        <v>81</v>
      </c>
      <c r="C6" s="13">
        <v>73.290000000000006</v>
      </c>
    </row>
    <row r="7" spans="1:3" x14ac:dyDescent="0.25">
      <c r="A7" s="17" t="s">
        <v>67</v>
      </c>
      <c r="B7" t="s">
        <v>232</v>
      </c>
      <c r="C7" s="13">
        <v>54.46</v>
      </c>
    </row>
    <row r="8" spans="1:3" x14ac:dyDescent="0.25">
      <c r="A8" s="17" t="s">
        <v>68</v>
      </c>
      <c r="B8" t="s">
        <v>79</v>
      </c>
      <c r="C8" s="13">
        <v>87.39</v>
      </c>
    </row>
    <row r="9" spans="1:3" x14ac:dyDescent="0.25">
      <c r="A9" s="17" t="s">
        <v>235</v>
      </c>
      <c r="B9" t="s">
        <v>236</v>
      </c>
      <c r="C9" s="13">
        <v>88.76</v>
      </c>
    </row>
    <row r="10" spans="1:3" x14ac:dyDescent="0.25">
      <c r="A10" s="17" t="s">
        <v>69</v>
      </c>
      <c r="B10" t="s">
        <v>74</v>
      </c>
      <c r="C10" s="13">
        <v>282.73</v>
      </c>
    </row>
    <row r="11" spans="1:3" x14ac:dyDescent="0.25">
      <c r="A11" s="17" t="s">
        <v>70</v>
      </c>
      <c r="B11" t="s">
        <v>239</v>
      </c>
      <c r="C11" s="13">
        <v>398.32</v>
      </c>
    </row>
    <row r="12" spans="1:3" x14ac:dyDescent="0.25">
      <c r="A12" s="17" t="s">
        <v>241</v>
      </c>
      <c r="B12" t="s">
        <v>242</v>
      </c>
      <c r="C12" s="13">
        <v>172.8</v>
      </c>
    </row>
    <row r="13" spans="1:3" x14ac:dyDescent="0.25">
      <c r="A13" s="17" t="s">
        <v>71</v>
      </c>
      <c r="B13" t="s">
        <v>82</v>
      </c>
      <c r="C13" s="13">
        <v>370.57</v>
      </c>
    </row>
    <row r="14" spans="1:3" x14ac:dyDescent="0.25">
      <c r="A14" s="17" t="s">
        <v>72</v>
      </c>
      <c r="B14" t="s">
        <v>245</v>
      </c>
      <c r="C14" s="13">
        <v>163.80000000000001</v>
      </c>
    </row>
    <row r="15" spans="1:3" x14ac:dyDescent="0.25">
      <c r="A15" s="17" t="s">
        <v>269</v>
      </c>
      <c r="B15" t="s">
        <v>270</v>
      </c>
      <c r="C15" s="13">
        <v>15</v>
      </c>
    </row>
    <row r="16" spans="1:3" x14ac:dyDescent="0.25">
      <c r="A16" s="17" t="s">
        <v>271</v>
      </c>
      <c r="B16" t="s">
        <v>272</v>
      </c>
      <c r="C16" s="13">
        <v>90.57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5AEDB-9EBD-EF4E-936B-817A58A6D7F7}">
  <dimension ref="A1:S31"/>
  <sheetViews>
    <sheetView tabSelected="1" topLeftCell="A4" workbookViewId="0">
      <selection activeCell="A6" sqref="A6"/>
    </sheetView>
  </sheetViews>
  <sheetFormatPr baseColWidth="10" defaultRowHeight="19" x14ac:dyDescent="0.25"/>
  <cols>
    <col min="1" max="1" width="14.28515625" customWidth="1"/>
    <col min="3" max="3" width="13.28515625" customWidth="1"/>
    <col min="4" max="4" width="16.28515625" customWidth="1"/>
    <col min="5" max="5" width="11.7109375" style="13" customWidth="1"/>
    <col min="10" max="10" width="15" customWidth="1"/>
    <col min="11" max="11" width="14.5703125" customWidth="1"/>
    <col min="12" max="12" width="13" customWidth="1"/>
    <col min="13" max="13" width="11.85546875" customWidth="1"/>
    <col min="14" max="14" width="13.28515625" customWidth="1"/>
    <col min="15" max="15" width="11.85546875" customWidth="1"/>
  </cols>
  <sheetData>
    <row r="1" spans="1:19" x14ac:dyDescent="0.25">
      <c r="A1" s="2" t="s">
        <v>7</v>
      </c>
      <c r="B1" s="1">
        <v>0.19900000000000001</v>
      </c>
    </row>
    <row r="5" spans="1:19" x14ac:dyDescent="0.25">
      <c r="A5" s="2" t="s">
        <v>0</v>
      </c>
      <c r="B5" s="2" t="s">
        <v>1</v>
      </c>
      <c r="C5" s="2" t="s">
        <v>2</v>
      </c>
      <c r="D5" s="2" t="s">
        <v>3</v>
      </c>
      <c r="E5" s="14" t="s">
        <v>4</v>
      </c>
      <c r="F5" s="2" t="s">
        <v>5</v>
      </c>
      <c r="G5" s="2" t="s">
        <v>6</v>
      </c>
      <c r="H5" s="2" t="s">
        <v>8</v>
      </c>
      <c r="I5" s="2" t="s">
        <v>274</v>
      </c>
      <c r="J5" s="5" t="s">
        <v>9</v>
      </c>
      <c r="K5" s="2" t="s">
        <v>83</v>
      </c>
      <c r="L5" s="5" t="s">
        <v>24</v>
      </c>
      <c r="M5" s="5" t="s">
        <v>12</v>
      </c>
      <c r="N5" s="5" t="s">
        <v>96</v>
      </c>
      <c r="O5" s="5" t="s">
        <v>97</v>
      </c>
      <c r="R5" s="19" t="s">
        <v>273</v>
      </c>
    </row>
    <row r="6" spans="1:19" x14ac:dyDescent="0.25">
      <c r="A6" t="s">
        <v>13</v>
      </c>
      <c r="B6" s="3">
        <f>VLOOKUP($A6,Factures!$A:$C,2,FALSE)</f>
        <v>45475</v>
      </c>
      <c r="C6" t="s">
        <v>72</v>
      </c>
      <c r="D6" t="s">
        <v>73</v>
      </c>
      <c r="E6" s="13">
        <v>160</v>
      </c>
      <c r="F6">
        <v>1</v>
      </c>
      <c r="G6" s="15">
        <f t="shared" ref="G6:G31" si="0">IF(I6&lt;E6,I6,E6) * F6</f>
        <v>160</v>
      </c>
      <c r="H6" s="15">
        <f t="shared" ref="H6:H31" si="1">G6*(1+TVA)</f>
        <v>191.84</v>
      </c>
      <c r="I6" s="13">
        <f>VLOOKUP($C6,'catalogue'!$A:$C,3,FALSE)</f>
        <v>163.80000000000001</v>
      </c>
      <c r="J6" s="3">
        <f t="shared" ref="J6:J31" si="2">VLOOKUP(A6,Facture,3,FALSE)</f>
        <v>45496</v>
      </c>
      <c r="K6" t="str">
        <f>_xlfn.XLOOKUP($A6,Factures!$A:$A,Factures!E:E,"",0)</f>
        <v>NAUDEAU</v>
      </c>
      <c r="L6" t="str">
        <f>_xlfn.XLOOKUP($A6,Factures!$A:$A,Factures!F:F,"",0)</f>
        <v>89300</v>
      </c>
      <c r="M6" t="str">
        <f>_xlfn.XLOOKUP($A6,Factures!$A:$A,Factures!G:G,"",0)</f>
        <v>St Aubin sur Yonne</v>
      </c>
      <c r="N6">
        <f>_xlfn.XLOOKUP($A6,Factures!$A:$A,Factures!M:M,"",0)</f>
        <v>89</v>
      </c>
      <c r="O6" t="str">
        <f>_xlfn.XLOOKUP($A6,Factures!$A:$A,Factures!N:N,"",0)</f>
        <v>Toto Transport</v>
      </c>
      <c r="R6">
        <f>VLOOKUP($C6,'catalogue'!$A:$C,3,FALSE)</f>
        <v>163.80000000000001</v>
      </c>
      <c r="S6" t="b">
        <f>VLOOKUP(C6,'catalogue'!$A:$C,3,FALSE)&lt;E6</f>
        <v>0</v>
      </c>
    </row>
    <row r="7" spans="1:19" x14ac:dyDescent="0.25">
      <c r="A7" t="s">
        <v>14</v>
      </c>
      <c r="B7" s="3">
        <f>VLOOKUP($A7,Factures!$A:$C,2,FALSE)</f>
        <v>45481</v>
      </c>
      <c r="C7" t="s">
        <v>69</v>
      </c>
      <c r="D7" t="s">
        <v>74</v>
      </c>
      <c r="E7" s="13">
        <v>280</v>
      </c>
      <c r="F7">
        <v>1</v>
      </c>
      <c r="G7" s="15">
        <f t="shared" si="0"/>
        <v>280</v>
      </c>
      <c r="H7" s="15">
        <f t="shared" si="1"/>
        <v>335.72</v>
      </c>
      <c r="I7" s="13">
        <f>VLOOKUP($C7,'catalogue'!$A:$C,3,FALSE)</f>
        <v>282.73</v>
      </c>
      <c r="J7" s="3">
        <f t="shared" si="2"/>
        <v>45502</v>
      </c>
      <c r="K7" t="str">
        <f>_xlfn.XLOOKUP($A7,Factures!$A:$A,Factures!E:E,"",0)</f>
        <v>MARITTO</v>
      </c>
      <c r="L7" t="str">
        <f>_xlfn.XLOOKUP($A7,Factures!$A:$A,Factures!F:F,"",0)</f>
        <v>53400</v>
      </c>
      <c r="M7" t="str">
        <f>_xlfn.XLOOKUP($A7,Factures!$A:$A,Factures!G:G,"",0)</f>
        <v>St Quentin les Anges</v>
      </c>
      <c r="N7">
        <f>_xlfn.XLOOKUP($A7,Factures!$A:$A,Factures!M:M,"",0)</f>
        <v>53</v>
      </c>
      <c r="O7" t="str">
        <f>_xlfn.XLOOKUP($A7,Factures!$A:$A,Factures!N:N,"",0)</f>
        <v>Colissimo</v>
      </c>
      <c r="R7">
        <f>VLOOKUP($C7,'catalogue'!$A:$C,3,FALSE)</f>
        <v>282.73</v>
      </c>
      <c r="S7" t="b">
        <f>VLOOKUP(C7,'catalogue'!$A:$C,3,FALSE)&lt;E7</f>
        <v>0</v>
      </c>
    </row>
    <row r="8" spans="1:19" x14ac:dyDescent="0.25">
      <c r="A8" t="s">
        <v>14</v>
      </c>
      <c r="B8" s="3">
        <f>VLOOKUP($A8,Factures!$A:$C,2,FALSE)</f>
        <v>45481</v>
      </c>
      <c r="C8" t="s">
        <v>63</v>
      </c>
      <c r="D8" t="s">
        <v>75</v>
      </c>
      <c r="E8" s="13">
        <v>22</v>
      </c>
      <c r="F8">
        <v>3</v>
      </c>
      <c r="G8" s="15">
        <f t="shared" si="0"/>
        <v>66</v>
      </c>
      <c r="H8" s="15">
        <f t="shared" si="1"/>
        <v>79.134</v>
      </c>
      <c r="I8" s="13">
        <f>VLOOKUP($C8,'catalogue'!$A:$C,3,FALSE)</f>
        <v>22.68</v>
      </c>
      <c r="J8" s="3">
        <f t="shared" si="2"/>
        <v>45502</v>
      </c>
      <c r="K8" t="str">
        <f>_xlfn.XLOOKUP($A8,Factures!$A:$A,Factures!E:E,"",0)</f>
        <v>MARITTO</v>
      </c>
      <c r="L8" t="str">
        <f>_xlfn.XLOOKUP($A8,Factures!$A:$A,Factures!F:F,"",0)</f>
        <v>53400</v>
      </c>
      <c r="M8" t="str">
        <f>_xlfn.XLOOKUP($A8,Factures!$A:$A,Factures!G:G,"",0)</f>
        <v>St Quentin les Anges</v>
      </c>
      <c r="N8">
        <f>_xlfn.XLOOKUP($A8,Factures!$A:$A,Factures!M:M,"",0)</f>
        <v>53</v>
      </c>
      <c r="O8" t="str">
        <f>_xlfn.XLOOKUP($A8,Factures!$A:$A,Factures!N:N,"",0)</f>
        <v>Colissimo</v>
      </c>
      <c r="R8">
        <f>VLOOKUP($C8,'catalogue'!$A:$C,3,FALSE)</f>
        <v>22.68</v>
      </c>
      <c r="S8" t="b">
        <f>VLOOKUP(C8,'catalogue'!$A:$C,3,FALSE)&lt;E8</f>
        <v>0</v>
      </c>
    </row>
    <row r="9" spans="1:19" x14ac:dyDescent="0.25">
      <c r="A9" t="s">
        <v>15</v>
      </c>
      <c r="B9" s="3">
        <f>VLOOKUP($A9,Factures!$A:$C,2,FALSE)</f>
        <v>45464</v>
      </c>
      <c r="C9" t="s">
        <v>68</v>
      </c>
      <c r="D9" t="s">
        <v>73</v>
      </c>
      <c r="E9" s="13">
        <v>88</v>
      </c>
      <c r="F9">
        <v>2</v>
      </c>
      <c r="G9" s="15">
        <f t="shared" si="0"/>
        <v>174.78</v>
      </c>
      <c r="H9" s="15">
        <f t="shared" si="1"/>
        <v>209.56122000000002</v>
      </c>
      <c r="I9" s="13">
        <f>VLOOKUP($C9,'catalogue'!$A:$C,3,FALSE)</f>
        <v>87.39</v>
      </c>
      <c r="J9" s="3">
        <f t="shared" si="2"/>
        <v>45485</v>
      </c>
      <c r="K9" t="str">
        <f>_xlfn.XLOOKUP($A9,Factures!$A:$A,Factures!E:E,"",0)</f>
        <v>BASCHET</v>
      </c>
      <c r="L9" t="str">
        <f>_xlfn.XLOOKUP($A9,Factures!$A:$A,Factures!F:F,"",0)</f>
        <v>92500</v>
      </c>
      <c r="M9" t="str">
        <f>_xlfn.XLOOKUP($A9,Factures!$A:$A,Factures!G:G,"",0)</f>
        <v>Rueil Malmaison</v>
      </c>
      <c r="N9">
        <f>_xlfn.XLOOKUP($A9,Factures!$A:$A,Factures!M:M,"",0)</f>
        <v>92</v>
      </c>
      <c r="O9" t="str">
        <f>_xlfn.XLOOKUP($A9,Factures!$A:$A,Factures!N:N,"",0)</f>
        <v>Toto Transport</v>
      </c>
      <c r="R9">
        <f>VLOOKUP($C9,'catalogue'!$A:$C,3,FALSE)</f>
        <v>87.39</v>
      </c>
      <c r="S9" t="b">
        <f>VLOOKUP(C9,'catalogue'!$A:$C,3,FALSE)&lt;E9</f>
        <v>1</v>
      </c>
    </row>
    <row r="10" spans="1:19" x14ac:dyDescent="0.25">
      <c r="A10" t="s">
        <v>16</v>
      </c>
      <c r="B10" s="3">
        <f>VLOOKUP($A10,Factures!$A:$C,2,FALSE)</f>
        <v>45526</v>
      </c>
      <c r="C10" t="s">
        <v>62</v>
      </c>
      <c r="D10" t="s">
        <v>76</v>
      </c>
      <c r="E10" s="13">
        <v>12</v>
      </c>
      <c r="F10">
        <v>2</v>
      </c>
      <c r="G10" s="15">
        <f t="shared" si="0"/>
        <v>24</v>
      </c>
      <c r="H10" s="15">
        <f t="shared" si="1"/>
        <v>28.776000000000003</v>
      </c>
      <c r="I10" s="13">
        <f>VLOOKUP($C10,'catalogue'!$A:$C,3,FALSE)</f>
        <v>12.16</v>
      </c>
      <c r="J10" s="3">
        <f t="shared" si="2"/>
        <v>45547</v>
      </c>
      <c r="K10" t="str">
        <f>_xlfn.XLOOKUP($A10,Factures!$A:$A,Factures!E:E,"",0)</f>
        <v>GRASSET</v>
      </c>
      <c r="L10" t="str">
        <f>_xlfn.XLOOKUP($A10,Factures!$A:$A,Factures!F:F,"",0)</f>
        <v>23400</v>
      </c>
      <c r="M10" t="str">
        <f>_xlfn.XLOOKUP($A10,Factures!$A:$A,Factures!G:G,"",0)</f>
        <v>Auriat</v>
      </c>
      <c r="N10">
        <f>_xlfn.XLOOKUP($A10,Factures!$A:$A,Factures!M:M,"",0)</f>
        <v>23</v>
      </c>
      <c r="O10" t="str">
        <f>_xlfn.XLOOKUP($A10,Factures!$A:$A,Factures!N:N,"",0)</f>
        <v>Colissimo</v>
      </c>
      <c r="R10">
        <f>VLOOKUP($C10,'catalogue'!$A:$C,3,FALSE)</f>
        <v>12.16</v>
      </c>
      <c r="S10" t="b">
        <f>VLOOKUP(C10,'catalogue'!$A:$C,3,FALSE)&lt;E10</f>
        <v>0</v>
      </c>
    </row>
    <row r="11" spans="1:19" x14ac:dyDescent="0.25">
      <c r="A11" t="s">
        <v>16</v>
      </c>
      <c r="B11" s="3">
        <f>VLOOKUP($A11,Factures!$A:$C,2,FALSE)</f>
        <v>45526</v>
      </c>
      <c r="C11" t="s">
        <v>70</v>
      </c>
      <c r="D11" t="s">
        <v>77</v>
      </c>
      <c r="E11" s="13">
        <v>300</v>
      </c>
      <c r="F11">
        <v>1</v>
      </c>
      <c r="G11" s="15">
        <f t="shared" si="0"/>
        <v>300</v>
      </c>
      <c r="H11" s="15">
        <f t="shared" si="1"/>
        <v>359.70000000000005</v>
      </c>
      <c r="I11" s="13">
        <f>VLOOKUP($C11,'catalogue'!$A:$C,3,FALSE)</f>
        <v>398.32</v>
      </c>
      <c r="J11" s="3">
        <f t="shared" si="2"/>
        <v>45547</v>
      </c>
      <c r="K11" t="str">
        <f>_xlfn.XLOOKUP($A11,Factures!$A:$A,Factures!E:E,"",0)</f>
        <v>GRASSET</v>
      </c>
      <c r="L11" t="str">
        <f>_xlfn.XLOOKUP($A11,Factures!$A:$A,Factures!F:F,"",0)</f>
        <v>23400</v>
      </c>
      <c r="M11" t="str">
        <f>_xlfn.XLOOKUP($A11,Factures!$A:$A,Factures!G:G,"",0)</f>
        <v>Auriat</v>
      </c>
      <c r="N11">
        <f>_xlfn.XLOOKUP($A11,Factures!$A:$A,Factures!M:M,"",0)</f>
        <v>23</v>
      </c>
      <c r="O11" t="str">
        <f>_xlfn.XLOOKUP($A11,Factures!$A:$A,Factures!N:N,"",0)</f>
        <v>Colissimo</v>
      </c>
      <c r="R11">
        <f>VLOOKUP($C11,'catalogue'!$A:$C,3,FALSE)</f>
        <v>398.32</v>
      </c>
      <c r="S11" t="b">
        <f>VLOOKUP(C11,'catalogue'!$A:$C,3,FALSE)&lt;E11</f>
        <v>0</v>
      </c>
    </row>
    <row r="12" spans="1:19" x14ac:dyDescent="0.25">
      <c r="A12" t="s">
        <v>16</v>
      </c>
      <c r="B12" s="3">
        <f>VLOOKUP($A12,Factures!$A:$C,2,FALSE)</f>
        <v>45526</v>
      </c>
      <c r="C12" t="s">
        <v>64</v>
      </c>
      <c r="D12" t="s">
        <v>78</v>
      </c>
      <c r="E12" s="13">
        <v>35</v>
      </c>
      <c r="F12">
        <v>1</v>
      </c>
      <c r="G12" s="15">
        <f t="shared" si="0"/>
        <v>34.28</v>
      </c>
      <c r="H12" s="15">
        <f t="shared" si="1"/>
        <v>41.10172</v>
      </c>
      <c r="I12" s="13">
        <f>VLOOKUP($C12,'catalogue'!$A:$C,3,FALSE)</f>
        <v>34.28</v>
      </c>
      <c r="J12" s="3">
        <f t="shared" si="2"/>
        <v>45547</v>
      </c>
      <c r="K12" t="str">
        <f>_xlfn.XLOOKUP($A12,Factures!$A:$A,Factures!E:E,"",0)</f>
        <v>GRASSET</v>
      </c>
      <c r="L12" t="str">
        <f>_xlfn.XLOOKUP($A12,Factures!$A:$A,Factures!F:F,"",0)</f>
        <v>23400</v>
      </c>
      <c r="M12" t="str">
        <f>_xlfn.XLOOKUP($A12,Factures!$A:$A,Factures!G:G,"",0)</f>
        <v>Auriat</v>
      </c>
      <c r="N12">
        <f>_xlfn.XLOOKUP($A12,Factures!$A:$A,Factures!M:M,"",0)</f>
        <v>23</v>
      </c>
      <c r="O12" t="str">
        <f>_xlfn.XLOOKUP($A12,Factures!$A:$A,Factures!N:N,"",0)</f>
        <v>Colissimo</v>
      </c>
      <c r="R12">
        <f>VLOOKUP($C12,'catalogue'!$A:$C,3,FALSE)</f>
        <v>34.28</v>
      </c>
      <c r="S12" t="b">
        <f>VLOOKUP(C12,'catalogue'!$A:$C,3,FALSE)&lt;E12</f>
        <v>1</v>
      </c>
    </row>
    <row r="13" spans="1:19" x14ac:dyDescent="0.25">
      <c r="A13" t="s">
        <v>16</v>
      </c>
      <c r="B13" s="3">
        <f>VLOOKUP($A13,Factures!$A:$C,2,FALSE)</f>
        <v>45526</v>
      </c>
      <c r="C13" t="s">
        <v>68</v>
      </c>
      <c r="D13" t="s">
        <v>79</v>
      </c>
      <c r="E13" s="13">
        <v>88</v>
      </c>
      <c r="F13">
        <v>2</v>
      </c>
      <c r="G13" s="15">
        <f t="shared" si="0"/>
        <v>174.78</v>
      </c>
      <c r="H13" s="15">
        <f t="shared" si="1"/>
        <v>209.56122000000002</v>
      </c>
      <c r="I13" s="13">
        <f>VLOOKUP($C13,'catalogue'!$A:$C,3,FALSE)</f>
        <v>87.39</v>
      </c>
      <c r="J13" s="3">
        <f t="shared" si="2"/>
        <v>45547</v>
      </c>
      <c r="K13" t="str">
        <f>_xlfn.XLOOKUP($A13,Factures!$A:$A,Factures!E:E,"",0)</f>
        <v>GRASSET</v>
      </c>
      <c r="L13" t="str">
        <f>_xlfn.XLOOKUP($A13,Factures!$A:$A,Factures!F:F,"",0)</f>
        <v>23400</v>
      </c>
      <c r="M13" t="str">
        <f>_xlfn.XLOOKUP($A13,Factures!$A:$A,Factures!G:G,"",0)</f>
        <v>Auriat</v>
      </c>
      <c r="N13">
        <f>_xlfn.XLOOKUP($A13,Factures!$A:$A,Factures!M:M,"",0)</f>
        <v>23</v>
      </c>
      <c r="O13" t="str">
        <f>_xlfn.XLOOKUP($A13,Factures!$A:$A,Factures!N:N,"",0)</f>
        <v>Colissimo</v>
      </c>
      <c r="R13">
        <f>VLOOKUP($C13,'catalogue'!$A:$C,3,FALSE)</f>
        <v>87.39</v>
      </c>
      <c r="S13" t="b">
        <f>VLOOKUP(C13,'catalogue'!$A:$C,3,FALSE)&lt;E13</f>
        <v>1</v>
      </c>
    </row>
    <row r="14" spans="1:19" x14ac:dyDescent="0.25">
      <c r="A14" t="s">
        <v>17</v>
      </c>
      <c r="B14" s="3">
        <f>VLOOKUP($A14,Factures!$A:$C,2,FALSE)</f>
        <v>45465</v>
      </c>
      <c r="C14" t="s">
        <v>63</v>
      </c>
      <c r="D14" t="s">
        <v>75</v>
      </c>
      <c r="E14" s="13">
        <v>23</v>
      </c>
      <c r="F14">
        <v>10</v>
      </c>
      <c r="G14" s="15">
        <f t="shared" si="0"/>
        <v>226.8</v>
      </c>
      <c r="H14" s="15">
        <f t="shared" si="1"/>
        <v>271.93320000000006</v>
      </c>
      <c r="I14" s="13">
        <f>VLOOKUP($C14,'catalogue'!$A:$C,3,FALSE)</f>
        <v>22.68</v>
      </c>
      <c r="J14" s="3">
        <f t="shared" si="2"/>
        <v>45485</v>
      </c>
      <c r="K14" t="str">
        <f>_xlfn.XLOOKUP($A14,Factures!$A:$A,Factures!E:E,"",0)</f>
        <v>MINELLI</v>
      </c>
      <c r="L14" t="str">
        <f>_xlfn.XLOOKUP($A14,Factures!$A:$A,Factures!F:F,"",0)</f>
        <v>59700</v>
      </c>
      <c r="M14" t="str">
        <f>_xlfn.XLOOKUP($A14,Factures!$A:$A,Factures!G:G,"",0)</f>
        <v>Marq-en-Bareouil</v>
      </c>
      <c r="N14">
        <f>_xlfn.XLOOKUP($A14,Factures!$A:$A,Factures!M:M,"",0)</f>
        <v>59</v>
      </c>
      <c r="O14" t="str">
        <f>_xlfn.XLOOKUP($A14,Factures!$A:$A,Factures!N:N,"",0)</f>
        <v>Toto Transport</v>
      </c>
      <c r="R14">
        <f>VLOOKUP($C14,'catalogue'!$A:$C,3,FALSE)</f>
        <v>22.68</v>
      </c>
      <c r="S14" t="b">
        <f>VLOOKUP(C14,'catalogue'!$A:$C,3,FALSE)&lt;E14</f>
        <v>1</v>
      </c>
    </row>
    <row r="15" spans="1:19" x14ac:dyDescent="0.25">
      <c r="A15" t="s">
        <v>18</v>
      </c>
      <c r="B15" s="3">
        <f>VLOOKUP($A15,Factures!$A:$C,2,FALSE)</f>
        <v>45515</v>
      </c>
      <c r="C15" t="s">
        <v>67</v>
      </c>
      <c r="D15" t="s">
        <v>80</v>
      </c>
      <c r="E15" s="13">
        <v>54.5</v>
      </c>
      <c r="F15">
        <v>6</v>
      </c>
      <c r="G15" s="15">
        <f t="shared" si="0"/>
        <v>326.76</v>
      </c>
      <c r="H15" s="15">
        <f t="shared" si="1"/>
        <v>391.78523999999999</v>
      </c>
      <c r="I15" s="13">
        <f>VLOOKUP($C15,'catalogue'!$A:$C,3,FALSE)</f>
        <v>54.46</v>
      </c>
      <c r="J15" s="3">
        <f t="shared" si="2"/>
        <v>45537</v>
      </c>
      <c r="K15" t="str">
        <f>_xlfn.XLOOKUP($A15,Factures!$A:$A,Factures!E:E,"",0)</f>
        <v>GALOTTI</v>
      </c>
      <c r="L15" t="str">
        <f>_xlfn.XLOOKUP($A15,Factures!$A:$A,Factures!F:F,"",0)</f>
        <v>64410</v>
      </c>
      <c r="M15" t="str">
        <f>_xlfn.XLOOKUP($A15,Factures!$A:$A,Factures!G:G,"",0)</f>
        <v>Arget</v>
      </c>
      <c r="N15">
        <f>_xlfn.XLOOKUP($A15,Factures!$A:$A,Factures!M:M,"",0)</f>
        <v>64</v>
      </c>
      <c r="O15" t="str">
        <f>_xlfn.XLOOKUP($A15,Factures!$A:$A,Factures!N:N,"",0)</f>
        <v>Colissimo</v>
      </c>
      <c r="R15">
        <f>VLOOKUP($C15,'catalogue'!$A:$C,3,FALSE)</f>
        <v>54.46</v>
      </c>
      <c r="S15" t="b">
        <f>VLOOKUP(C15,'catalogue'!$A:$C,3,FALSE)&lt;E15</f>
        <v>1</v>
      </c>
    </row>
    <row r="16" spans="1:19" x14ac:dyDescent="0.25">
      <c r="A16" t="s">
        <v>19</v>
      </c>
      <c r="B16" s="3">
        <f>VLOOKUP($A16,Factures!$A:$C,2,FALSE)</f>
        <v>45498</v>
      </c>
      <c r="C16" t="s">
        <v>63</v>
      </c>
      <c r="D16" t="s">
        <v>75</v>
      </c>
      <c r="E16" s="13">
        <v>23</v>
      </c>
      <c r="F16">
        <v>4</v>
      </c>
      <c r="G16" s="15">
        <f t="shared" si="0"/>
        <v>90.72</v>
      </c>
      <c r="H16" s="15">
        <f t="shared" si="1"/>
        <v>108.77328</v>
      </c>
      <c r="I16" s="13">
        <f>VLOOKUP($C16,'catalogue'!$A:$C,3,FALSE)</f>
        <v>22.68</v>
      </c>
      <c r="J16" s="3">
        <f t="shared" si="2"/>
        <v>45520</v>
      </c>
      <c r="K16" t="str">
        <f>_xlfn.XLOOKUP($A16,Factures!$A:$A,Factures!E:E,"",0)</f>
        <v>DANO</v>
      </c>
      <c r="L16" t="str">
        <f>_xlfn.XLOOKUP($A16,Factures!$A:$A,Factures!F:F,"",0)</f>
        <v>55400</v>
      </c>
      <c r="M16" t="str">
        <f>_xlfn.XLOOKUP($A16,Factures!$A:$A,Factures!G:G,"",0)</f>
        <v>Braquis</v>
      </c>
      <c r="N16">
        <f>_xlfn.XLOOKUP($A16,Factures!$A:$A,Factures!M:M,"",0)</f>
        <v>55</v>
      </c>
      <c r="O16" t="str">
        <f>_xlfn.XLOOKUP($A16,Factures!$A:$A,Factures!N:N,"",0)</f>
        <v>Camion propre</v>
      </c>
      <c r="R16">
        <f>VLOOKUP($C16,'catalogue'!$A:$C,3,FALSE)</f>
        <v>22.68</v>
      </c>
      <c r="S16" t="b">
        <f>VLOOKUP(C16,'catalogue'!$A:$C,3,FALSE)&lt;E16</f>
        <v>1</v>
      </c>
    </row>
    <row r="17" spans="1:19" x14ac:dyDescent="0.25">
      <c r="A17" t="s">
        <v>19</v>
      </c>
      <c r="B17" s="3">
        <f>VLOOKUP($A17,Factures!$A:$C,2,FALSE)</f>
        <v>45498</v>
      </c>
      <c r="C17" t="s">
        <v>66</v>
      </c>
      <c r="D17" t="s">
        <v>81</v>
      </c>
      <c r="E17" s="13">
        <v>74</v>
      </c>
      <c r="F17">
        <v>4</v>
      </c>
      <c r="G17" s="15">
        <f t="shared" si="0"/>
        <v>293.16000000000003</v>
      </c>
      <c r="H17" s="15">
        <f t="shared" si="1"/>
        <v>351.49884000000003</v>
      </c>
      <c r="I17" s="13">
        <f>VLOOKUP($C17,'catalogue'!$A:$C,3,FALSE)</f>
        <v>73.290000000000006</v>
      </c>
      <c r="J17" s="3">
        <f t="shared" si="2"/>
        <v>45520</v>
      </c>
      <c r="K17" t="str">
        <f>_xlfn.XLOOKUP($A17,Factures!$A:$A,Factures!E:E,"",0)</f>
        <v>DANO</v>
      </c>
      <c r="L17" t="str">
        <f>_xlfn.XLOOKUP($A17,Factures!$A:$A,Factures!F:F,"",0)</f>
        <v>55400</v>
      </c>
      <c r="M17" t="str">
        <f>_xlfn.XLOOKUP($A17,Factures!$A:$A,Factures!G:G,"",0)</f>
        <v>Braquis</v>
      </c>
      <c r="N17">
        <f>_xlfn.XLOOKUP($A17,Factures!$A:$A,Factures!M:M,"",0)</f>
        <v>55</v>
      </c>
      <c r="O17" t="str">
        <f>_xlfn.XLOOKUP($A17,Factures!$A:$A,Factures!N:N,"",0)</f>
        <v>Camion propre</v>
      </c>
      <c r="R17">
        <f>VLOOKUP($C17,'catalogue'!$A:$C,3,FALSE)</f>
        <v>73.290000000000006</v>
      </c>
      <c r="S17" t="b">
        <f>VLOOKUP(C17,'catalogue'!$A:$C,3,FALSE)&lt;E17</f>
        <v>1</v>
      </c>
    </row>
    <row r="18" spans="1:19" x14ac:dyDescent="0.25">
      <c r="A18" t="s">
        <v>19</v>
      </c>
      <c r="B18" s="3">
        <f>VLOOKUP($A18,Factures!$A:$C,2,FALSE)</f>
        <v>45498</v>
      </c>
      <c r="C18" t="s">
        <v>65</v>
      </c>
      <c r="D18" t="s">
        <v>78</v>
      </c>
      <c r="E18" s="13">
        <v>35</v>
      </c>
      <c r="F18">
        <v>3</v>
      </c>
      <c r="G18" s="15">
        <f t="shared" si="0"/>
        <v>105</v>
      </c>
      <c r="H18" s="15">
        <f t="shared" si="1"/>
        <v>125.89500000000001</v>
      </c>
      <c r="I18" s="13">
        <f>VLOOKUP($C18,'catalogue'!$A:$C,3,FALSE)</f>
        <v>95.51</v>
      </c>
      <c r="J18" s="3">
        <f t="shared" si="2"/>
        <v>45520</v>
      </c>
      <c r="K18" t="str">
        <f>_xlfn.XLOOKUP($A18,Factures!$A:$A,Factures!E:E,"",0)</f>
        <v>DANO</v>
      </c>
      <c r="L18" t="str">
        <f>_xlfn.XLOOKUP($A18,Factures!$A:$A,Factures!F:F,"",0)</f>
        <v>55400</v>
      </c>
      <c r="M18" t="str">
        <f>_xlfn.XLOOKUP($A18,Factures!$A:$A,Factures!G:G,"",0)</f>
        <v>Braquis</v>
      </c>
      <c r="N18">
        <f>_xlfn.XLOOKUP($A18,Factures!$A:$A,Factures!M:M,"",0)</f>
        <v>55</v>
      </c>
      <c r="O18" t="str">
        <f>_xlfn.XLOOKUP($A18,Factures!$A:$A,Factures!N:N,"",0)</f>
        <v>Camion propre</v>
      </c>
      <c r="R18">
        <f>VLOOKUP($C18,'catalogue'!$A:$C,3,FALSE)</f>
        <v>95.51</v>
      </c>
      <c r="S18" t="b">
        <f>VLOOKUP(C18,'catalogue'!$A:$C,3,FALSE)&lt;E18</f>
        <v>0</v>
      </c>
    </row>
    <row r="19" spans="1:19" x14ac:dyDescent="0.25">
      <c r="A19" t="s">
        <v>20</v>
      </c>
      <c r="B19" s="3">
        <f>VLOOKUP($A19,Factures!$A:$C,2,FALSE)</f>
        <v>45515</v>
      </c>
      <c r="C19" t="s">
        <v>63</v>
      </c>
      <c r="D19" t="s">
        <v>75</v>
      </c>
      <c r="E19" s="13">
        <v>23</v>
      </c>
      <c r="F19">
        <v>2</v>
      </c>
      <c r="G19" s="15">
        <f t="shared" si="0"/>
        <v>45.36</v>
      </c>
      <c r="H19" s="15">
        <f t="shared" si="1"/>
        <v>54.38664</v>
      </c>
      <c r="I19" s="13">
        <f>VLOOKUP($C19,'catalogue'!$A:$C,3,FALSE)</f>
        <v>22.68</v>
      </c>
      <c r="J19" s="3">
        <f t="shared" si="2"/>
        <v>45537</v>
      </c>
      <c r="K19" t="str">
        <f>_xlfn.XLOOKUP($A19,Factures!$A:$A,Factures!E:E,"",0)</f>
        <v>GLORI</v>
      </c>
      <c r="L19" t="str">
        <f>_xlfn.XLOOKUP($A19,Factures!$A:$A,Factures!F:F,"",0)</f>
        <v>52400</v>
      </c>
      <c r="M19" t="str">
        <f>_xlfn.XLOOKUP($A19,Factures!$A:$A,Factures!G:G,"",0)</f>
        <v>Aigremont</v>
      </c>
      <c r="N19">
        <f>_xlfn.XLOOKUP($A19,Factures!$A:$A,Factures!M:M,"",0)</f>
        <v>52</v>
      </c>
      <c r="O19" t="str">
        <f>_xlfn.XLOOKUP($A19,Factures!$A:$A,Factures!N:N,"",0)</f>
        <v>Camion propre</v>
      </c>
      <c r="R19">
        <f>VLOOKUP($C19,'catalogue'!$A:$C,3,FALSE)</f>
        <v>22.68</v>
      </c>
      <c r="S19" t="b">
        <f>VLOOKUP(C19,'catalogue'!$A:$C,3,FALSE)&lt;E19</f>
        <v>1</v>
      </c>
    </row>
    <row r="20" spans="1:19" x14ac:dyDescent="0.25">
      <c r="A20" t="s">
        <v>21</v>
      </c>
      <c r="B20" s="3">
        <f>VLOOKUP($A20,Factures!$A:$C,2,FALSE)</f>
        <v>45527</v>
      </c>
      <c r="C20" t="s">
        <v>71</v>
      </c>
      <c r="D20" t="s">
        <v>82</v>
      </c>
      <c r="E20" s="13">
        <v>370</v>
      </c>
      <c r="F20">
        <v>1</v>
      </c>
      <c r="G20" s="15">
        <f t="shared" si="0"/>
        <v>370</v>
      </c>
      <c r="H20" s="15">
        <f t="shared" si="1"/>
        <v>443.63000000000005</v>
      </c>
      <c r="I20" s="13">
        <f>VLOOKUP($C20,'catalogue'!$A:$C,3,FALSE)</f>
        <v>370.57</v>
      </c>
      <c r="J20" s="3">
        <f t="shared" si="2"/>
        <v>45548</v>
      </c>
      <c r="K20" t="str">
        <f>_xlfn.XLOOKUP($A20,Factures!$A:$A,Factures!E:E,"",0)</f>
        <v>BASCHET</v>
      </c>
      <c r="L20" t="str">
        <f>_xlfn.XLOOKUP($A20,Factures!$A:$A,Factures!F:F,"",0)</f>
        <v>04210</v>
      </c>
      <c r="M20" t="str">
        <f>_xlfn.XLOOKUP($A20,Factures!$A:$A,Factures!G:G,"",0)</f>
        <v>Brunet</v>
      </c>
      <c r="N20">
        <f>_xlfn.XLOOKUP($A20,Factures!$A:$A,Factures!M:M,"",0)</f>
        <v>4</v>
      </c>
      <c r="O20" t="str">
        <f>_xlfn.XLOOKUP($A20,Factures!$A:$A,Factures!N:N,"",0)</f>
        <v>Colissimo</v>
      </c>
      <c r="R20">
        <f>VLOOKUP($C20,'catalogue'!$A:$C,3,FALSE)</f>
        <v>370.57</v>
      </c>
      <c r="S20" t="b">
        <f>VLOOKUP(C20,'catalogue'!$A:$C,3,FALSE)&lt;E20</f>
        <v>0</v>
      </c>
    </row>
    <row r="21" spans="1:19" x14ac:dyDescent="0.25">
      <c r="A21" t="s">
        <v>21</v>
      </c>
      <c r="B21" s="3">
        <f>VLOOKUP($A21,Factures!$A:$C,2,FALSE)</f>
        <v>45527</v>
      </c>
      <c r="C21" t="s">
        <v>67</v>
      </c>
      <c r="D21" t="s">
        <v>80</v>
      </c>
      <c r="E21" s="13">
        <v>54.5</v>
      </c>
      <c r="F21">
        <v>4</v>
      </c>
      <c r="G21" s="15">
        <f t="shared" si="0"/>
        <v>217.84</v>
      </c>
      <c r="H21" s="15">
        <f t="shared" si="1"/>
        <v>261.19015999999999</v>
      </c>
      <c r="I21" s="13">
        <f>VLOOKUP($C21,'catalogue'!$A:$C,3,FALSE)</f>
        <v>54.46</v>
      </c>
      <c r="J21" s="3">
        <f t="shared" si="2"/>
        <v>45548</v>
      </c>
      <c r="K21" t="str">
        <f>_xlfn.XLOOKUP($A21,Factures!$A:$A,Factures!E:E,"",0)</f>
        <v>BASCHET</v>
      </c>
      <c r="L21" t="str">
        <f>_xlfn.XLOOKUP($A21,Factures!$A:$A,Factures!F:F,"",0)</f>
        <v>04210</v>
      </c>
      <c r="M21" t="str">
        <f>_xlfn.XLOOKUP($A21,Factures!$A:$A,Factures!G:G,"",0)</f>
        <v>Brunet</v>
      </c>
      <c r="N21">
        <f>_xlfn.XLOOKUP($A21,Factures!$A:$A,Factures!M:M,"",0)</f>
        <v>4</v>
      </c>
      <c r="O21" t="str">
        <f>_xlfn.XLOOKUP($A21,Factures!$A:$A,Factures!N:N,"",0)</f>
        <v>Colissimo</v>
      </c>
      <c r="R21">
        <f>VLOOKUP($C21,'catalogue'!$A:$C,3,FALSE)</f>
        <v>54.46</v>
      </c>
      <c r="S21" t="b">
        <f>VLOOKUP(C21,'catalogue'!$A:$C,3,FALSE)&lt;E21</f>
        <v>1</v>
      </c>
    </row>
    <row r="22" spans="1:19" x14ac:dyDescent="0.25">
      <c r="A22" t="s">
        <v>21</v>
      </c>
      <c r="B22" s="3">
        <f>VLOOKUP($A22,Factures!$A:$C,2,FALSE)</f>
        <v>45527</v>
      </c>
      <c r="C22" t="s">
        <v>69</v>
      </c>
      <c r="D22" t="s">
        <v>74</v>
      </c>
      <c r="E22" s="13">
        <v>282</v>
      </c>
      <c r="F22">
        <v>1</v>
      </c>
      <c r="G22" s="15">
        <f t="shared" si="0"/>
        <v>282</v>
      </c>
      <c r="H22" s="15">
        <f t="shared" si="1"/>
        <v>338.11799999999999</v>
      </c>
      <c r="I22" s="13">
        <f>VLOOKUP($C22,'catalogue'!$A:$C,3,FALSE)</f>
        <v>282.73</v>
      </c>
      <c r="J22" s="3">
        <f t="shared" si="2"/>
        <v>45548</v>
      </c>
      <c r="K22" t="str">
        <f>_xlfn.XLOOKUP($A22,Factures!$A:$A,Factures!E:E,"",0)</f>
        <v>BASCHET</v>
      </c>
      <c r="L22" t="str">
        <f>_xlfn.XLOOKUP($A22,Factures!$A:$A,Factures!F:F,"",0)</f>
        <v>04210</v>
      </c>
      <c r="M22" t="str">
        <f>_xlfn.XLOOKUP($A22,Factures!$A:$A,Factures!G:G,"",0)</f>
        <v>Brunet</v>
      </c>
      <c r="N22">
        <f>_xlfn.XLOOKUP($A22,Factures!$A:$A,Factures!M:M,"",0)</f>
        <v>4</v>
      </c>
      <c r="O22" t="str">
        <f>_xlfn.XLOOKUP($A22,Factures!$A:$A,Factures!N:N,"",0)</f>
        <v>Colissimo</v>
      </c>
      <c r="R22">
        <f>VLOOKUP($C22,'catalogue'!$A:$C,3,FALSE)</f>
        <v>282.73</v>
      </c>
      <c r="S22" t="b">
        <f>VLOOKUP(C22,'catalogue'!$A:$C,3,FALSE)&lt;E22</f>
        <v>0</v>
      </c>
    </row>
    <row r="23" spans="1:19" x14ac:dyDescent="0.25">
      <c r="A23" t="s">
        <v>21</v>
      </c>
      <c r="B23" s="3">
        <f>VLOOKUP($A23,Factures!$A:$C,2,FALSE)</f>
        <v>45527</v>
      </c>
      <c r="C23" t="s">
        <v>64</v>
      </c>
      <c r="D23" t="s">
        <v>78</v>
      </c>
      <c r="E23" s="13">
        <v>35</v>
      </c>
      <c r="F23">
        <v>2</v>
      </c>
      <c r="G23" s="15">
        <f t="shared" si="0"/>
        <v>68.56</v>
      </c>
      <c r="H23" s="15">
        <f t="shared" si="1"/>
        <v>82.203440000000001</v>
      </c>
      <c r="I23" s="13">
        <f>VLOOKUP($C23,'catalogue'!$A:$C,3,FALSE)</f>
        <v>34.28</v>
      </c>
      <c r="J23" s="3">
        <f t="shared" si="2"/>
        <v>45548</v>
      </c>
      <c r="K23" t="str">
        <f>_xlfn.XLOOKUP($A23,Factures!$A:$A,Factures!E:E,"",0)</f>
        <v>BASCHET</v>
      </c>
      <c r="L23" t="str">
        <f>_xlfn.XLOOKUP($A23,Factures!$A:$A,Factures!F:F,"",0)</f>
        <v>04210</v>
      </c>
      <c r="M23" t="str">
        <f>_xlfn.XLOOKUP($A23,Factures!$A:$A,Factures!G:G,"",0)</f>
        <v>Brunet</v>
      </c>
      <c r="N23">
        <f>_xlfn.XLOOKUP($A23,Factures!$A:$A,Factures!M:M,"",0)</f>
        <v>4</v>
      </c>
      <c r="O23" t="str">
        <f>_xlfn.XLOOKUP($A23,Factures!$A:$A,Factures!N:N,"",0)</f>
        <v>Colissimo</v>
      </c>
      <c r="R23">
        <f>VLOOKUP($C23,'catalogue'!$A:$C,3,FALSE)</f>
        <v>34.28</v>
      </c>
      <c r="S23" t="b">
        <f>VLOOKUP(C23,'catalogue'!$A:$C,3,FALSE)&lt;E23</f>
        <v>1</v>
      </c>
    </row>
    <row r="24" spans="1:19" x14ac:dyDescent="0.25">
      <c r="A24" t="s">
        <v>22</v>
      </c>
      <c r="B24" s="3">
        <f>VLOOKUP($A24,Factures!$A:$C,2,FALSE)</f>
        <v>45495</v>
      </c>
      <c r="C24" t="s">
        <v>67</v>
      </c>
      <c r="D24" t="s">
        <v>80</v>
      </c>
      <c r="E24" s="13">
        <v>54.5</v>
      </c>
      <c r="F24">
        <v>1</v>
      </c>
      <c r="G24" s="15">
        <f t="shared" si="0"/>
        <v>54.46</v>
      </c>
      <c r="H24" s="15">
        <f t="shared" si="1"/>
        <v>65.297539999999998</v>
      </c>
      <c r="I24" s="13">
        <f>VLOOKUP($C24,'catalogue'!$A:$C,3,FALSE)</f>
        <v>54.46</v>
      </c>
      <c r="J24" s="3">
        <f t="shared" si="2"/>
        <v>45516</v>
      </c>
      <c r="K24" t="str">
        <f>_xlfn.XLOOKUP($A24,Factures!$A:$A,Factures!E:E,"",0)</f>
        <v>CEREJA</v>
      </c>
      <c r="L24" t="str">
        <f>_xlfn.XLOOKUP($A24,Factures!$A:$A,Factures!F:F,"",0)</f>
        <v>99 999</v>
      </c>
      <c r="M24" t="str">
        <f>_xlfn.XLOOKUP($A24,Factures!$A:$A,Factures!G:G,"",0)</f>
        <v>Santa Maria, BR</v>
      </c>
      <c r="N24">
        <f>_xlfn.XLOOKUP($A24,Factures!$A:$A,Factures!M:M,"",0)</f>
        <v>99</v>
      </c>
      <c r="O24" t="str">
        <f>_xlfn.XLOOKUP($A24,Factures!$A:$A,Factures!N:N,"",0)</f>
        <v>A DEFINIR</v>
      </c>
      <c r="R24">
        <f>VLOOKUP($C24,'catalogue'!$A:$C,3,FALSE)</f>
        <v>54.46</v>
      </c>
      <c r="S24" t="b">
        <f>VLOOKUP(C24,'catalogue'!$A:$C,3,FALSE)&lt;E24</f>
        <v>1</v>
      </c>
    </row>
    <row r="25" spans="1:19" x14ac:dyDescent="0.25">
      <c r="A25" t="s">
        <v>22</v>
      </c>
      <c r="B25" s="3">
        <f>VLOOKUP($A25,Factures!$A:$C,2,FALSE)</f>
        <v>45495</v>
      </c>
      <c r="C25" t="s">
        <v>66</v>
      </c>
      <c r="D25" t="s">
        <v>81</v>
      </c>
      <c r="E25" s="13">
        <v>73.5</v>
      </c>
      <c r="F25">
        <v>2</v>
      </c>
      <c r="G25" s="15">
        <f t="shared" si="0"/>
        <v>146.58000000000001</v>
      </c>
      <c r="H25" s="15">
        <f t="shared" si="1"/>
        <v>175.74942000000001</v>
      </c>
      <c r="I25" s="13">
        <f>VLOOKUP($C25,'catalogue'!$A:$C,3,FALSE)</f>
        <v>73.290000000000006</v>
      </c>
      <c r="J25" s="3">
        <f t="shared" si="2"/>
        <v>45516</v>
      </c>
      <c r="K25" t="str">
        <f>_xlfn.XLOOKUP($A25,Factures!$A:$A,Factures!E:E,"",0)</f>
        <v>CEREJA</v>
      </c>
      <c r="L25" t="str">
        <f>_xlfn.XLOOKUP($A25,Factures!$A:$A,Factures!F:F,"",0)</f>
        <v>99 999</v>
      </c>
      <c r="M25" t="str">
        <f>_xlfn.XLOOKUP($A25,Factures!$A:$A,Factures!G:G,"",0)</f>
        <v>Santa Maria, BR</v>
      </c>
      <c r="N25">
        <f>_xlfn.XLOOKUP($A25,Factures!$A:$A,Factures!M:M,"",0)</f>
        <v>99</v>
      </c>
      <c r="O25" t="str">
        <f>_xlfn.XLOOKUP($A25,Factures!$A:$A,Factures!N:N,"",0)</f>
        <v>A DEFINIR</v>
      </c>
      <c r="R25">
        <f>VLOOKUP($C25,'catalogue'!$A:$C,3,FALSE)</f>
        <v>73.290000000000006</v>
      </c>
      <c r="S25" t="b">
        <f>VLOOKUP(C25,'catalogue'!$A:$C,3,FALSE)&lt;E25</f>
        <v>1</v>
      </c>
    </row>
    <row r="26" spans="1:19" x14ac:dyDescent="0.25">
      <c r="A26" t="s">
        <v>23</v>
      </c>
      <c r="B26" s="3">
        <f>VLOOKUP($A26,Factures!$A:$C,2,FALSE)</f>
        <v>45536</v>
      </c>
      <c r="C26" t="s">
        <v>71</v>
      </c>
      <c r="D26" t="s">
        <v>82</v>
      </c>
      <c r="E26" s="13">
        <v>370</v>
      </c>
      <c r="F26">
        <v>1</v>
      </c>
      <c r="G26" s="15">
        <f t="shared" si="0"/>
        <v>370</v>
      </c>
      <c r="H26" s="15">
        <f t="shared" si="1"/>
        <v>443.63000000000005</v>
      </c>
      <c r="I26" s="13">
        <f>VLOOKUP($C26,'catalogue'!$A:$C,3,FALSE)</f>
        <v>370.57</v>
      </c>
      <c r="J26" s="3">
        <f t="shared" si="2"/>
        <v>45555</v>
      </c>
      <c r="K26" t="str">
        <f>_xlfn.XLOOKUP($A26,Factures!$A:$A,Factures!E:E,"",0)</f>
        <v>MINELLI</v>
      </c>
      <c r="L26" t="str">
        <f>_xlfn.XLOOKUP($A26,Factures!$A:$A,Factures!F:F,"",0)</f>
        <v>59700</v>
      </c>
      <c r="M26" t="str">
        <f>_xlfn.XLOOKUP($A26,Factures!$A:$A,Factures!G:G,"",0)</f>
        <v>Marq-en-Bareouil</v>
      </c>
      <c r="N26">
        <f>_xlfn.XLOOKUP($A26,Factures!$A:$A,Factures!M:M,"",0)</f>
        <v>59</v>
      </c>
      <c r="O26" t="str">
        <f>_xlfn.XLOOKUP($A26,Factures!$A:$A,Factures!N:N,"",0)</f>
        <v>Toto Transport</v>
      </c>
      <c r="R26">
        <f>VLOOKUP($C26,'catalogue'!$A:$C,3,FALSE)</f>
        <v>370.57</v>
      </c>
      <c r="S26" t="b">
        <f>VLOOKUP(C26,'catalogue'!$A:$C,3,FALSE)&lt;E26</f>
        <v>0</v>
      </c>
    </row>
    <row r="27" spans="1:19" x14ac:dyDescent="0.25">
      <c r="A27" t="s">
        <v>214</v>
      </c>
      <c r="B27" s="3">
        <f>VLOOKUP($A27,Factures!$A:$C,2,FALSE)</f>
        <v>45536</v>
      </c>
      <c r="C27" t="s">
        <v>65</v>
      </c>
      <c r="D27" t="s">
        <v>78</v>
      </c>
      <c r="E27" s="13">
        <v>35</v>
      </c>
      <c r="F27">
        <v>2</v>
      </c>
      <c r="G27" s="15">
        <f t="shared" si="0"/>
        <v>70</v>
      </c>
      <c r="H27" s="15">
        <f t="shared" si="1"/>
        <v>83.93</v>
      </c>
      <c r="I27" s="13">
        <f>VLOOKUP($C27,'catalogue'!$A:$C,3,FALSE)</f>
        <v>95.51</v>
      </c>
      <c r="J27" s="3">
        <f t="shared" si="2"/>
        <v>45555</v>
      </c>
      <c r="K27" t="str">
        <f>_xlfn.XLOOKUP($A27,Factures!$A:$A,Factures!E:E,"",0)</f>
        <v>DE LAON</v>
      </c>
      <c r="L27">
        <f>_xlfn.XLOOKUP($A27,Factures!$A:$A,Factures!F:F,"",0)</f>
        <v>51100</v>
      </c>
      <c r="M27" t="str">
        <f>_xlfn.XLOOKUP($A27,Factures!$A:$A,Factures!G:G,"",0)</f>
        <v>Reims</v>
      </c>
      <c r="N27">
        <f>_xlfn.XLOOKUP($A27,Factures!$A:$A,Factures!M:M,"",0)</f>
        <v>51</v>
      </c>
      <c r="O27" t="str">
        <f>_xlfn.XLOOKUP($A27,Factures!$A:$A,Factures!N:N,"",0)</f>
        <v>Camion propre</v>
      </c>
      <c r="R27">
        <f>VLOOKUP($C27,'catalogue'!$A:$C,3,FALSE)</f>
        <v>95.51</v>
      </c>
      <c r="S27" t="b">
        <f>VLOOKUP(C27,'catalogue'!$A:$C,3,FALSE)&lt;E27</f>
        <v>0</v>
      </c>
    </row>
    <row r="28" spans="1:19" x14ac:dyDescent="0.25">
      <c r="A28" t="s">
        <v>215</v>
      </c>
      <c r="B28" s="3">
        <f>VLOOKUP($A28,Factures!$A:$C,2,FALSE)</f>
        <v>45537</v>
      </c>
      <c r="C28" t="s">
        <v>67</v>
      </c>
      <c r="D28" t="s">
        <v>80</v>
      </c>
      <c r="E28" s="13">
        <v>55</v>
      </c>
      <c r="F28">
        <v>4</v>
      </c>
      <c r="G28" s="15">
        <f t="shared" si="0"/>
        <v>217.84</v>
      </c>
      <c r="H28" s="15">
        <f t="shared" si="1"/>
        <v>261.19015999999999</v>
      </c>
      <c r="I28" s="13">
        <f>VLOOKUP($C28,'catalogue'!$A:$C,3,FALSE)</f>
        <v>54.46</v>
      </c>
      <c r="J28" s="3">
        <f t="shared" si="2"/>
        <v>45558</v>
      </c>
      <c r="K28" t="str">
        <f>_xlfn.XLOOKUP($A28,Factures!$A:$A,Factures!E:E,"",0)</f>
        <v>TOVALSKI</v>
      </c>
      <c r="L28">
        <f>_xlfn.XLOOKUP($A28,Factures!$A:$A,Factures!F:F,"",0)</f>
        <v>33025</v>
      </c>
      <c r="M28" t="str">
        <f>_xlfn.XLOOKUP($A28,Factures!$A:$A,Factures!G:G,"",0)</f>
        <v>Bordeaux</v>
      </c>
      <c r="N28">
        <f>_xlfn.XLOOKUP($A28,Factures!$A:$A,Factures!M:M,"",0)</f>
        <v>33</v>
      </c>
      <c r="O28" t="str">
        <f>_xlfn.XLOOKUP($A28,Factures!$A:$A,Factures!N:N,"",0)</f>
        <v>Colissimo</v>
      </c>
      <c r="R28">
        <f>VLOOKUP($C28,'catalogue'!$A:$C,3,FALSE)</f>
        <v>54.46</v>
      </c>
      <c r="S28" t="b">
        <f>VLOOKUP(C28,'catalogue'!$A:$C,3,FALSE)&lt;E28</f>
        <v>1</v>
      </c>
    </row>
    <row r="29" spans="1:19" x14ac:dyDescent="0.25">
      <c r="A29" t="s">
        <v>215</v>
      </c>
      <c r="B29" s="3">
        <f>VLOOKUP($A29,Factures!$A:$C,2,FALSE)</f>
        <v>45537</v>
      </c>
      <c r="C29" t="s">
        <v>66</v>
      </c>
      <c r="D29" t="s">
        <v>81</v>
      </c>
      <c r="E29" s="13">
        <v>70</v>
      </c>
      <c r="F29">
        <v>4</v>
      </c>
      <c r="G29" s="15">
        <f t="shared" si="0"/>
        <v>280</v>
      </c>
      <c r="H29" s="15">
        <f t="shared" si="1"/>
        <v>335.72</v>
      </c>
      <c r="I29" s="13">
        <f>VLOOKUP($C29,'catalogue'!$A:$C,3,FALSE)</f>
        <v>73.290000000000006</v>
      </c>
      <c r="J29" s="3">
        <f t="shared" si="2"/>
        <v>45558</v>
      </c>
      <c r="K29" t="str">
        <f>_xlfn.XLOOKUP($A29,Factures!$A:$A,Factures!E:E,"",0)</f>
        <v>TOVALSKI</v>
      </c>
      <c r="L29">
        <f>_xlfn.XLOOKUP($A29,Factures!$A:$A,Factures!F:F,"",0)</f>
        <v>33025</v>
      </c>
      <c r="M29" t="str">
        <f>_xlfn.XLOOKUP($A29,Factures!$A:$A,Factures!G:G,"",0)</f>
        <v>Bordeaux</v>
      </c>
      <c r="N29">
        <f>_xlfn.XLOOKUP($A29,Factures!$A:$A,Factures!M:M,"",0)</f>
        <v>33</v>
      </c>
      <c r="O29" t="str">
        <f>_xlfn.XLOOKUP($A29,Factures!$A:$A,Factures!N:N,"",0)</f>
        <v>Colissimo</v>
      </c>
      <c r="R29">
        <f>VLOOKUP($C29,'catalogue'!$A:$C,3,FALSE)</f>
        <v>73.290000000000006</v>
      </c>
      <c r="S29" t="b">
        <f>VLOOKUP(C29,'catalogue'!$A:$C,3,FALSE)&lt;E29</f>
        <v>0</v>
      </c>
    </row>
    <row r="30" spans="1:19" x14ac:dyDescent="0.25">
      <c r="A30" t="s">
        <v>215</v>
      </c>
      <c r="B30" s="3">
        <f>VLOOKUP($A30,Factures!$A:$C,2,FALSE)</f>
        <v>45537</v>
      </c>
      <c r="C30" t="s">
        <v>71</v>
      </c>
      <c r="D30" t="s">
        <v>82</v>
      </c>
      <c r="E30" s="13">
        <v>370</v>
      </c>
      <c r="F30">
        <v>1</v>
      </c>
      <c r="G30" s="15">
        <f t="shared" si="0"/>
        <v>370</v>
      </c>
      <c r="H30" s="15">
        <f t="shared" si="1"/>
        <v>443.63000000000005</v>
      </c>
      <c r="I30" s="13">
        <f>VLOOKUP($C30,'catalogue'!$A:$C,3,FALSE)</f>
        <v>370.57</v>
      </c>
      <c r="J30" s="3">
        <f t="shared" si="2"/>
        <v>45558</v>
      </c>
      <c r="K30" t="str">
        <f>_xlfn.XLOOKUP($A30,Factures!$A:$A,Factures!E:E,"",0)</f>
        <v>TOVALSKI</v>
      </c>
      <c r="L30">
        <f>_xlfn.XLOOKUP($A30,Factures!$A:$A,Factures!F:F,"",0)</f>
        <v>33025</v>
      </c>
      <c r="M30" t="str">
        <f>_xlfn.XLOOKUP($A30,Factures!$A:$A,Factures!G:G,"",0)</f>
        <v>Bordeaux</v>
      </c>
      <c r="N30">
        <f>_xlfn.XLOOKUP($A30,Factures!$A:$A,Factures!M:M,"",0)</f>
        <v>33</v>
      </c>
      <c r="O30" t="str">
        <f>_xlfn.XLOOKUP($A30,Factures!$A:$A,Factures!N:N,"",0)</f>
        <v>Colissimo</v>
      </c>
      <c r="R30">
        <f>VLOOKUP($C30,'catalogue'!$A:$C,3,FALSE)</f>
        <v>370.57</v>
      </c>
      <c r="S30" t="b">
        <f>VLOOKUP(C30,'catalogue'!$A:$C,3,FALSE)&lt;E30</f>
        <v>0</v>
      </c>
    </row>
    <row r="31" spans="1:19" x14ac:dyDescent="0.25">
      <c r="A31" t="s">
        <v>214</v>
      </c>
      <c r="B31" s="3">
        <f>VLOOKUP($A31,Factures!$A:$C,2,FALSE)</f>
        <v>45536</v>
      </c>
      <c r="C31" t="s">
        <v>63</v>
      </c>
      <c r="D31" t="s">
        <v>75</v>
      </c>
      <c r="E31" s="13">
        <v>25</v>
      </c>
      <c r="F31">
        <v>2</v>
      </c>
      <c r="G31" s="15">
        <f t="shared" si="0"/>
        <v>45.36</v>
      </c>
      <c r="H31" s="15">
        <f t="shared" si="1"/>
        <v>54.38664</v>
      </c>
      <c r="I31" s="13">
        <f>VLOOKUP($C31,'catalogue'!$A:$C,3,FALSE)</f>
        <v>22.68</v>
      </c>
      <c r="J31" s="3">
        <f t="shared" si="2"/>
        <v>45555</v>
      </c>
      <c r="K31" t="str">
        <f>_xlfn.XLOOKUP($A31,Factures!$A:$A,Factures!E:E,"",0)</f>
        <v>DE LAON</v>
      </c>
      <c r="L31">
        <f>_xlfn.XLOOKUP($A31,Factures!$A:$A,Factures!F:F,"",0)</f>
        <v>51100</v>
      </c>
      <c r="M31" t="str">
        <f>_xlfn.XLOOKUP($A31,Factures!$A:$A,Factures!G:G,"",0)</f>
        <v>Reims</v>
      </c>
      <c r="N31">
        <f>_xlfn.XLOOKUP($A31,Factures!$A:$A,Factures!M:M,"",0)</f>
        <v>51</v>
      </c>
      <c r="O31" t="str">
        <f>_xlfn.XLOOKUP($A31,Factures!$A:$A,Factures!N:N,"",0)</f>
        <v>Camion propre</v>
      </c>
      <c r="R31">
        <f>VLOOKUP($C31,'catalogue'!$A:$C,3,FALSE)</f>
        <v>22.68</v>
      </c>
      <c r="S31" t="b">
        <f>VLOOKUP(C31,'catalogue'!$A:$C,3,FALSE)&lt;E31</f>
        <v>1</v>
      </c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80E1B19-F51F-0F46-9BAF-940D0722588C}">
            <xm:f>VLOOKUP(C6,'catalogue'!$A:$C,3,FALSE)&lt;E6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m:sqref>H6:H31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A6EF0-E559-6546-ADAF-5EF25446627F}">
  <dimension ref="A1:Z14"/>
  <sheetViews>
    <sheetView workbookViewId="0">
      <selection activeCell="O3" sqref="O3"/>
    </sheetView>
  </sheetViews>
  <sheetFormatPr baseColWidth="10" defaultRowHeight="19" x14ac:dyDescent="0.25"/>
  <cols>
    <col min="1" max="1" width="13.85546875" customWidth="1"/>
    <col min="2" max="2" width="11.85546875" style="7" customWidth="1"/>
    <col min="3" max="3" width="14.5703125" customWidth="1"/>
    <col min="4" max="4" width="28.42578125" customWidth="1"/>
    <col min="5" max="5" width="14.5703125" customWidth="1"/>
    <col min="6" max="6" width="12.7109375" customWidth="1"/>
    <col min="7" max="7" width="12" customWidth="1"/>
    <col min="8" max="8" width="22.28515625" customWidth="1"/>
    <col min="9" max="9" width="14.5703125" customWidth="1"/>
    <col min="12" max="12" width="13.140625" customWidth="1"/>
    <col min="14" max="14" width="13.28515625" customWidth="1"/>
    <col min="16" max="16" width="16.140625" customWidth="1"/>
  </cols>
  <sheetData>
    <row r="1" spans="1:26" s="7" customFormat="1" x14ac:dyDescent="0.25">
      <c r="A1" s="5" t="s">
        <v>0</v>
      </c>
      <c r="B1" s="5" t="s">
        <v>1</v>
      </c>
      <c r="C1" s="5" t="s">
        <v>9</v>
      </c>
      <c r="D1" s="5" t="s">
        <v>84</v>
      </c>
      <c r="E1" s="5" t="s">
        <v>83</v>
      </c>
      <c r="F1" s="5" t="s">
        <v>24</v>
      </c>
      <c r="G1" s="5" t="s">
        <v>12</v>
      </c>
      <c r="H1" s="5" t="s">
        <v>10</v>
      </c>
      <c r="I1" s="5" t="s">
        <v>11</v>
      </c>
      <c r="J1" s="5" t="s">
        <v>8</v>
      </c>
      <c r="K1" s="5" t="s">
        <v>95</v>
      </c>
      <c r="L1" s="5" t="s">
        <v>94</v>
      </c>
      <c r="M1" s="5" t="s">
        <v>96</v>
      </c>
      <c r="N1" s="5" t="s">
        <v>97</v>
      </c>
      <c r="P1" s="36" t="s">
        <v>310</v>
      </c>
      <c r="Q1" s="5" t="s">
        <v>94</v>
      </c>
      <c r="S1" s="23" t="s">
        <v>267</v>
      </c>
      <c r="W1" s="23" t="s">
        <v>268</v>
      </c>
      <c r="Y1" s="23" t="s">
        <v>266</v>
      </c>
    </row>
    <row r="2" spans="1:26" x14ac:dyDescent="0.25">
      <c r="A2" t="s">
        <v>13</v>
      </c>
      <c r="B2" s="6">
        <v>45475</v>
      </c>
      <c r="C2" s="3">
        <f t="shared" ref="C2:C14" si="0">WORKDAY(B2,15,JoursFeries)</f>
        <v>45496</v>
      </c>
      <c r="D2" t="s">
        <v>85</v>
      </c>
      <c r="E2" t="str">
        <f>RIGHT(D2,LEN(D2)-SEARCH(" ",D2))</f>
        <v>NAUDEAU</v>
      </c>
      <c r="F2" t="s">
        <v>35</v>
      </c>
      <c r="G2" t="s">
        <v>36</v>
      </c>
      <c r="H2" t="s">
        <v>37</v>
      </c>
      <c r="I2" t="s">
        <v>25</v>
      </c>
      <c r="J2" s="13">
        <f>SUMIF(Ventes!A:A,Factures!A2,Ventes!H:H)</f>
        <v>191.84</v>
      </c>
      <c r="K2" s="13" t="str">
        <f>IF(OR(COUNTIF(Ventes!A:A,Factures!A2) &gt;= 4,SUMIF(Ventes!A:A,Factures!A2,Ventes!F:F) &gt;=10), J2*0.05,"")</f>
        <v/>
      </c>
      <c r="L2" s="13">
        <f>IF(K2&lt;&gt;"",J2+K2,J2)</f>
        <v>191.84</v>
      </c>
      <c r="M2" s="26">
        <f>VALUE(LEFT(F2,2))</f>
        <v>89</v>
      </c>
      <c r="N2" s="4" t="str">
        <f>_xlfn.XLOOKUP(M2,NumDept,Transporteur,"A DEFINIR",0)</f>
        <v>Toto Transport</v>
      </c>
      <c r="O2" s="4"/>
      <c r="P2" s="37">
        <f>IF(OR(COUNTIF(Ventes!A:A,Factures!A2) &gt;= 4,SUMIF(Ventes!A:A,Factures!A2,Ventes!F:F) &gt;=10), J2*0.05,0)</f>
        <v>0</v>
      </c>
      <c r="Q2" s="13">
        <f>J2+P2</f>
        <v>191.84</v>
      </c>
      <c r="R2" s="4"/>
      <c r="S2">
        <f>COUNTIF(Ventes!A:A,Factures!A2)</f>
        <v>1</v>
      </c>
      <c r="T2">
        <f>SUMIF(Ventes!A:A,Factures!A2,Ventes!F:F)</f>
        <v>1</v>
      </c>
      <c r="U2" t="b">
        <f>OR(COUNTIF(Ventes!A:A,Factures!A2) &gt;= 4,SUMIF(Ventes!A:A,Factures!A2,Ventes!F:F) &gt;=10)</f>
        <v>0</v>
      </c>
      <c r="W2" s="13">
        <f>IF(ISNUMBER(K2),J2+K2,J2)</f>
        <v>191.84</v>
      </c>
      <c r="Y2" s="24">
        <f>IF(OR(COUNTIF(Ventes!A:A,Factures!A2) &gt;= 4,SUMIF(Ventes!A:A,Factures!A2,Ventes!F:F) &gt;=10), J2*0.05,0)</f>
        <v>0</v>
      </c>
      <c r="Z2" s="25">
        <f>Y2+J2</f>
        <v>191.84</v>
      </c>
    </row>
    <row r="3" spans="1:26" x14ac:dyDescent="0.25">
      <c r="A3" t="s">
        <v>14</v>
      </c>
      <c r="B3" s="6">
        <v>45481</v>
      </c>
      <c r="C3" s="3">
        <f t="shared" si="0"/>
        <v>45502</v>
      </c>
      <c r="D3" t="s">
        <v>86</v>
      </c>
      <c r="E3" t="str">
        <f t="shared" ref="E3:E14" si="1">RIGHT(D3,LEN(D3)-SEARCH(" ",D3))</f>
        <v>MARITTO</v>
      </c>
      <c r="F3" t="s">
        <v>38</v>
      </c>
      <c r="G3" t="s">
        <v>39</v>
      </c>
      <c r="H3" t="s">
        <v>40</v>
      </c>
      <c r="I3" t="s">
        <v>26</v>
      </c>
      <c r="J3" s="13">
        <f>SUMIF(Ventes!A:A,Factures!A3,Ventes!H:H)</f>
        <v>414.85400000000004</v>
      </c>
      <c r="K3" s="13" t="str">
        <f>IF(OR(COUNTIF(Ventes!A:A,Factures!A3) &gt;= 4,SUMIF(Ventes!A:A,Factures!A3,Ventes!F:F) &gt;=10), J3*0.05,"")</f>
        <v/>
      </c>
      <c r="L3" s="13">
        <f t="shared" ref="L3:L14" si="2">IF(K3&lt;&gt;"",J3+K3,J3)</f>
        <v>414.85400000000004</v>
      </c>
      <c r="M3" s="26">
        <f t="shared" ref="M3:M14" si="3">VALUE(LEFT(F3,2))</f>
        <v>53</v>
      </c>
      <c r="N3" s="4" t="str">
        <f>_xlfn.XLOOKUP(M3,NumDept,Transporteur,"A DEFINIR",0)</f>
        <v>Colissimo</v>
      </c>
      <c r="O3" s="4"/>
      <c r="P3" s="37">
        <f>IF(OR(COUNTIF(Ventes!A:A,Factures!A3) &gt;= 4,SUMIF(Ventes!A:A,Factures!A3,Ventes!F:F) &gt;=10), J3*0.05,0)</f>
        <v>0</v>
      </c>
      <c r="Q3" s="13">
        <f t="shared" ref="Q3:Q14" si="4">J3+P3</f>
        <v>414.85400000000004</v>
      </c>
      <c r="R3" s="4"/>
      <c r="S3">
        <f>COUNTIF(Ventes!A:A,Factures!A3)</f>
        <v>2</v>
      </c>
      <c r="T3">
        <f>SUMIF(Ventes!A:A,Factures!A3,Ventes!F:F)</f>
        <v>4</v>
      </c>
      <c r="U3" t="b">
        <f>OR(COUNTIF(Ventes!A:A,Factures!A3) &gt;= 4,SUMIF(Ventes!A:A,Factures!A3,Ventes!F:F) &gt;=10)</f>
        <v>0</v>
      </c>
      <c r="W3" s="13">
        <f>IF(ISNUMBER(K3),J3+K3,J3)</f>
        <v>414.85400000000004</v>
      </c>
      <c r="Y3" s="24">
        <f>IF(OR(COUNTIF(Ventes!A:A,Factures!A3) &gt;= 4,SUMIF(Ventes!A:A,Factures!A3,Ventes!F:F) &gt;=10), J3*0.05,0)</f>
        <v>0</v>
      </c>
      <c r="Z3" s="25">
        <f>Y3+J3</f>
        <v>414.85400000000004</v>
      </c>
    </row>
    <row r="4" spans="1:26" x14ac:dyDescent="0.25">
      <c r="A4" t="s">
        <v>15</v>
      </c>
      <c r="B4" s="6">
        <v>45464</v>
      </c>
      <c r="C4" s="3">
        <f t="shared" si="0"/>
        <v>45485</v>
      </c>
      <c r="D4" t="s">
        <v>87</v>
      </c>
      <c r="E4" t="str">
        <f t="shared" si="1"/>
        <v>BASCHET</v>
      </c>
      <c r="F4" t="s">
        <v>41</v>
      </c>
      <c r="G4" t="s">
        <v>42</v>
      </c>
      <c r="H4" t="s">
        <v>43</v>
      </c>
      <c r="I4" t="s">
        <v>32</v>
      </c>
      <c r="J4" s="13">
        <f>SUMIF(Ventes!A:A,Factures!A4,Ventes!H:H)</f>
        <v>209.56122000000002</v>
      </c>
      <c r="K4" s="13" t="str">
        <f>IF(OR(COUNTIF(Ventes!A:A,Factures!A4) &gt;= 4,SUMIF(Ventes!A:A,Factures!A4,Ventes!F:F) &gt;=10), J4*0.05,"")</f>
        <v/>
      </c>
      <c r="L4" s="13">
        <f t="shared" si="2"/>
        <v>209.56122000000002</v>
      </c>
      <c r="M4" s="26">
        <f t="shared" si="3"/>
        <v>92</v>
      </c>
      <c r="N4" s="4" t="str">
        <f>_xlfn.XLOOKUP(M4,NumDept,Transporteur,"A DEFINIR",0)</f>
        <v>Toto Transport</v>
      </c>
      <c r="O4" s="4"/>
      <c r="P4" s="37">
        <f>IF(OR(COUNTIF(Ventes!A:A,Factures!A4) &gt;= 4,SUMIF(Ventes!A:A,Factures!A4,Ventes!F:F) &gt;=10), J4*0.05,0)</f>
        <v>0</v>
      </c>
      <c r="Q4" s="13">
        <f t="shared" si="4"/>
        <v>209.56122000000002</v>
      </c>
      <c r="R4" s="4"/>
      <c r="S4">
        <f>COUNTIF(Ventes!A:A,Factures!A4)</f>
        <v>1</v>
      </c>
      <c r="T4">
        <f>SUMIF(Ventes!A:A,Factures!A4,Ventes!F:F)</f>
        <v>2</v>
      </c>
      <c r="U4" t="b">
        <f>OR(COUNTIF(Ventes!A:A,Factures!A4) &gt;= 4,SUMIF(Ventes!A:A,Factures!A4,Ventes!F:F) &gt;=10)</f>
        <v>0</v>
      </c>
      <c r="W4" s="13">
        <f>IF(ISNUMBER(K4),J4+K4,J4)</f>
        <v>209.56122000000002</v>
      </c>
      <c r="Y4" s="24">
        <f>IF(OR(COUNTIF(Ventes!A:A,Factures!A4) &gt;= 4,SUMIF(Ventes!A:A,Factures!A4,Ventes!F:F) &gt;=10), J4*0.05,0)</f>
        <v>0</v>
      </c>
      <c r="Z4" s="25">
        <f>Y4+J4</f>
        <v>209.56122000000002</v>
      </c>
    </row>
    <row r="5" spans="1:26" x14ac:dyDescent="0.25">
      <c r="A5" t="s">
        <v>16</v>
      </c>
      <c r="B5" s="6">
        <v>45526</v>
      </c>
      <c r="C5" s="3">
        <f t="shared" si="0"/>
        <v>45547</v>
      </c>
      <c r="D5" t="s">
        <v>88</v>
      </c>
      <c r="E5" t="str">
        <f t="shared" si="1"/>
        <v>GRASSET</v>
      </c>
      <c r="F5" t="s">
        <v>44</v>
      </c>
      <c r="G5" t="s">
        <v>45</v>
      </c>
      <c r="H5" t="s">
        <v>46</v>
      </c>
      <c r="I5" t="s">
        <v>27</v>
      </c>
      <c r="J5" s="13">
        <f>SUMIF(Ventes!A:A,Factures!A5,Ventes!H:H)</f>
        <v>639.13894000000005</v>
      </c>
      <c r="K5" s="13">
        <f>IF(OR(COUNTIF(Ventes!A:A,Factures!A5) &gt;= 4,SUMIF(Ventes!A:A,Factures!A5,Ventes!F:F) &gt;=10), J5*0.05,"")</f>
        <v>31.956947000000003</v>
      </c>
      <c r="L5" s="13">
        <f t="shared" si="2"/>
        <v>671.09588700000006</v>
      </c>
      <c r="M5" s="26">
        <f t="shared" si="3"/>
        <v>23</v>
      </c>
      <c r="N5" s="4" t="str">
        <f>_xlfn.XLOOKUP(M5,NumDept,Transporteur,"A DEFINIR",0)</f>
        <v>Colissimo</v>
      </c>
      <c r="O5" s="4"/>
      <c r="P5" s="37">
        <f>IF(OR(COUNTIF(Ventes!A:A,Factures!A5) &gt;= 4,SUMIF(Ventes!A:A,Factures!A5,Ventes!F:F) &gt;=10), J5*0.05,0)</f>
        <v>31.956947000000003</v>
      </c>
      <c r="Q5" s="13">
        <f t="shared" si="4"/>
        <v>671.09588700000006</v>
      </c>
      <c r="R5" s="4"/>
      <c r="S5">
        <f>COUNTIF(Ventes!A:A,Factures!A5)</f>
        <v>4</v>
      </c>
      <c r="T5">
        <f>SUMIF(Ventes!A:A,Factures!A5,Ventes!F:F)</f>
        <v>6</v>
      </c>
      <c r="U5" t="b">
        <f>OR(COUNTIF(Ventes!A:A,Factures!A5) &gt;= 4,SUMIF(Ventes!A:A,Factures!A5,Ventes!F:F) &gt;=10)</f>
        <v>1</v>
      </c>
      <c r="W5" s="13">
        <f>IF(ISNUMBER(K5),J5+K5,J5)</f>
        <v>671.09588700000006</v>
      </c>
      <c r="Y5" s="24">
        <f>IF(OR(COUNTIF(Ventes!A:A,Factures!A5) &gt;= 4,SUMIF(Ventes!A:A,Factures!A5,Ventes!F:F) &gt;=10), J5*0.05,0)</f>
        <v>31.956947000000003</v>
      </c>
      <c r="Z5" s="25">
        <f>Y5+J5</f>
        <v>671.09588700000006</v>
      </c>
    </row>
    <row r="6" spans="1:26" x14ac:dyDescent="0.25">
      <c r="A6" t="s">
        <v>17</v>
      </c>
      <c r="B6" s="6">
        <v>45465</v>
      </c>
      <c r="C6" s="3">
        <f t="shared" si="0"/>
        <v>45485</v>
      </c>
      <c r="D6" t="s">
        <v>89</v>
      </c>
      <c r="E6" t="str">
        <f t="shared" si="1"/>
        <v>MINELLI</v>
      </c>
      <c r="F6" t="s">
        <v>59</v>
      </c>
      <c r="G6" t="s">
        <v>60</v>
      </c>
      <c r="H6" t="s">
        <v>61</v>
      </c>
      <c r="I6" t="s">
        <v>33</v>
      </c>
      <c r="J6" s="13">
        <f>SUMIF(Ventes!A:A,Factures!A6,Ventes!H:H)</f>
        <v>271.93320000000006</v>
      </c>
      <c r="K6" s="13">
        <f>IF(OR(COUNTIF(Ventes!A:A,Factures!A6) &gt;= 4,SUMIF(Ventes!A:A,Factures!A6,Ventes!F:F) &gt;=10), J6*0.05,"")</f>
        <v>13.596660000000004</v>
      </c>
      <c r="L6" s="13">
        <f t="shared" si="2"/>
        <v>285.52986000000004</v>
      </c>
      <c r="M6" s="26">
        <f t="shared" si="3"/>
        <v>59</v>
      </c>
      <c r="N6" s="4" t="str">
        <f>_xlfn.XLOOKUP(M6,NumDept,Transporteur,"A DEFINIR",0)</f>
        <v>Toto Transport</v>
      </c>
      <c r="O6" s="4"/>
      <c r="P6" s="37">
        <f>IF(OR(COUNTIF(Ventes!A:A,Factures!A6) &gt;= 4,SUMIF(Ventes!A:A,Factures!A6,Ventes!F:F) &gt;=10), J6*0.05,0)</f>
        <v>13.596660000000004</v>
      </c>
      <c r="Q6" s="13">
        <f t="shared" si="4"/>
        <v>285.52986000000004</v>
      </c>
      <c r="R6" s="4"/>
      <c r="S6">
        <f>COUNTIF(Ventes!A:A,Factures!A6)</f>
        <v>1</v>
      </c>
      <c r="T6">
        <f>SUMIF(Ventes!A:A,Factures!A6,Ventes!F:F)</f>
        <v>10</v>
      </c>
      <c r="U6" t="b">
        <f>OR(COUNTIF(Ventes!A:A,Factures!A6) &gt;= 4,SUMIF(Ventes!A:A,Factures!A6,Ventes!F:F) &gt;=10)</f>
        <v>1</v>
      </c>
      <c r="W6" s="13">
        <f>IF(ISNUMBER(K6),J6+K6,J6)</f>
        <v>285.52986000000004</v>
      </c>
      <c r="Y6" s="24">
        <f>IF(OR(COUNTIF(Ventes!A:A,Factures!A6) &gt;= 4,SUMIF(Ventes!A:A,Factures!A6,Ventes!F:F) &gt;=10), J6*0.05,0)</f>
        <v>13.596660000000004</v>
      </c>
      <c r="Z6" s="25">
        <f>Y6+J6</f>
        <v>285.52986000000004</v>
      </c>
    </row>
    <row r="7" spans="1:26" x14ac:dyDescent="0.25">
      <c r="A7" t="s">
        <v>18</v>
      </c>
      <c r="B7" s="6">
        <v>45515</v>
      </c>
      <c r="C7" s="3">
        <f t="shared" si="0"/>
        <v>45537</v>
      </c>
      <c r="D7" t="s">
        <v>90</v>
      </c>
      <c r="E7" t="str">
        <f t="shared" si="1"/>
        <v>GALOTTI</v>
      </c>
      <c r="F7" t="s">
        <v>47</v>
      </c>
      <c r="G7" t="s">
        <v>48</v>
      </c>
      <c r="H7" t="s">
        <v>49</v>
      </c>
      <c r="I7" t="s">
        <v>28</v>
      </c>
      <c r="J7" s="13">
        <f>SUMIF(Ventes!A:A,Factures!A7,Ventes!H:H)</f>
        <v>391.78523999999999</v>
      </c>
      <c r="K7" s="13" t="str">
        <f>IF(OR(COUNTIF(Ventes!A:A,Factures!A7) &gt;= 4,SUMIF(Ventes!A:A,Factures!A7,Ventes!F:F) &gt;=10), J7*0.05,"")</f>
        <v/>
      </c>
      <c r="L7" s="13">
        <f t="shared" si="2"/>
        <v>391.78523999999999</v>
      </c>
      <c r="M7" s="26">
        <f t="shared" si="3"/>
        <v>64</v>
      </c>
      <c r="N7" s="4" t="str">
        <f>_xlfn.XLOOKUP(M7,NumDept,Transporteur,"A DEFINIR",0)</f>
        <v>Colissimo</v>
      </c>
      <c r="O7" s="4"/>
      <c r="P7" s="37">
        <f>IF(OR(COUNTIF(Ventes!A:A,Factures!A7) &gt;= 4,SUMIF(Ventes!A:A,Factures!A7,Ventes!F:F) &gt;=10), J7*0.05,0)</f>
        <v>0</v>
      </c>
      <c r="Q7" s="13">
        <f t="shared" si="4"/>
        <v>391.78523999999999</v>
      </c>
      <c r="R7" s="4"/>
      <c r="S7">
        <f>COUNTIF(Ventes!A:A,Factures!A7)</f>
        <v>1</v>
      </c>
      <c r="T7">
        <f>SUMIF(Ventes!A:A,Factures!A7,Ventes!F:F)</f>
        <v>6</v>
      </c>
      <c r="U7" t="b">
        <f>OR(COUNTIF(Ventes!A:A,Factures!A7) &gt;= 4,SUMIF(Ventes!A:A,Factures!A7,Ventes!F:F) &gt;=10)</f>
        <v>0</v>
      </c>
      <c r="W7" s="13">
        <f>IF(ISNUMBER(K7),J7+K7,J7)</f>
        <v>391.78523999999999</v>
      </c>
      <c r="Y7" s="24">
        <f>IF(OR(COUNTIF(Ventes!A:A,Factures!A7) &gt;= 4,SUMIF(Ventes!A:A,Factures!A7,Ventes!F:F) &gt;=10), J7*0.05,0)</f>
        <v>0</v>
      </c>
      <c r="Z7" s="25">
        <f>Y7+J7</f>
        <v>391.78523999999999</v>
      </c>
    </row>
    <row r="8" spans="1:26" x14ac:dyDescent="0.25">
      <c r="A8" t="s">
        <v>19</v>
      </c>
      <c r="B8" s="6">
        <v>45498</v>
      </c>
      <c r="C8" s="3">
        <f t="shared" si="0"/>
        <v>45520</v>
      </c>
      <c r="D8" t="s">
        <v>91</v>
      </c>
      <c r="E8" t="str">
        <f t="shared" si="1"/>
        <v>DANO</v>
      </c>
      <c r="F8" t="s">
        <v>50</v>
      </c>
      <c r="G8" t="s">
        <v>51</v>
      </c>
      <c r="H8" t="s">
        <v>52</v>
      </c>
      <c r="I8" t="s">
        <v>29</v>
      </c>
      <c r="J8" s="13">
        <f>SUMIF(Ventes!A:A,Factures!A8,Ventes!H:H)</f>
        <v>586.16712000000007</v>
      </c>
      <c r="K8" s="13">
        <f>IF(OR(COUNTIF(Ventes!A:A,Factures!A8) &gt;= 4,SUMIF(Ventes!A:A,Factures!A8,Ventes!F:F) &gt;=10), J8*0.05,"")</f>
        <v>29.308356000000003</v>
      </c>
      <c r="L8" s="13">
        <f t="shared" si="2"/>
        <v>615.47547600000007</v>
      </c>
      <c r="M8" s="26">
        <f t="shared" si="3"/>
        <v>55</v>
      </c>
      <c r="N8" s="4" t="str">
        <f>_xlfn.XLOOKUP(M8,NumDept,Transporteur,"A DEFINIR",0)</f>
        <v>Camion propre</v>
      </c>
      <c r="O8" s="4"/>
      <c r="P8" s="37">
        <f>IF(OR(COUNTIF(Ventes!A:A,Factures!A8) &gt;= 4,SUMIF(Ventes!A:A,Factures!A8,Ventes!F:F) &gt;=10), J8*0.05,0)</f>
        <v>29.308356000000003</v>
      </c>
      <c r="Q8" s="13">
        <f t="shared" si="4"/>
        <v>615.47547600000007</v>
      </c>
      <c r="R8" s="4"/>
      <c r="S8">
        <f>COUNTIF(Ventes!A:A,Factures!A8)</f>
        <v>3</v>
      </c>
      <c r="T8">
        <f>SUMIF(Ventes!A:A,Factures!A8,Ventes!F:F)</f>
        <v>11</v>
      </c>
      <c r="U8" t="b">
        <f>OR(COUNTIF(Ventes!A:A,Factures!A8) &gt;= 4,SUMIF(Ventes!A:A,Factures!A8,Ventes!F:F) &gt;=10)</f>
        <v>1</v>
      </c>
      <c r="W8" s="13">
        <f>IF(ISNUMBER(K8),J8+K8,J8)</f>
        <v>615.47547600000007</v>
      </c>
      <c r="Y8" s="24">
        <f>IF(OR(COUNTIF(Ventes!A:A,Factures!A8) &gt;= 4,SUMIF(Ventes!A:A,Factures!A8,Ventes!F:F) &gt;=10), J8*0.05,0)</f>
        <v>29.308356000000003</v>
      </c>
      <c r="Z8" s="25">
        <f>Y8+J8</f>
        <v>615.47547600000007</v>
      </c>
    </row>
    <row r="9" spans="1:26" x14ac:dyDescent="0.25">
      <c r="A9" t="s">
        <v>20</v>
      </c>
      <c r="B9" s="6">
        <v>45515</v>
      </c>
      <c r="C9" s="3">
        <f t="shared" si="0"/>
        <v>45537</v>
      </c>
      <c r="D9" t="s">
        <v>92</v>
      </c>
      <c r="E9" t="str">
        <f t="shared" si="1"/>
        <v>GLORI</v>
      </c>
      <c r="F9" t="s">
        <v>53</v>
      </c>
      <c r="G9" t="s">
        <v>54</v>
      </c>
      <c r="H9" t="s">
        <v>55</v>
      </c>
      <c r="I9" t="s">
        <v>30</v>
      </c>
      <c r="J9" s="13">
        <f>SUMIF(Ventes!A:A,Factures!A9,Ventes!H:H)</f>
        <v>54.38664</v>
      </c>
      <c r="K9" s="13" t="str">
        <f>IF(OR(COUNTIF(Ventes!A:A,Factures!A9) &gt;= 4,SUMIF(Ventes!A:A,Factures!A9,Ventes!F:F) &gt;=10), J9*0.05,"")</f>
        <v/>
      </c>
      <c r="L9" s="13">
        <f t="shared" si="2"/>
        <v>54.38664</v>
      </c>
      <c r="M9" s="26">
        <f t="shared" si="3"/>
        <v>52</v>
      </c>
      <c r="N9" s="4" t="str">
        <f>_xlfn.XLOOKUP(M9,NumDept,Transporteur,"A DEFINIR",0)</f>
        <v>Camion propre</v>
      </c>
      <c r="O9" s="4"/>
      <c r="P9" s="37">
        <f>IF(OR(COUNTIF(Ventes!A:A,Factures!A9) &gt;= 4,SUMIF(Ventes!A:A,Factures!A9,Ventes!F:F) &gt;=10), J9*0.05,0)</f>
        <v>0</v>
      </c>
      <c r="Q9" s="13">
        <f t="shared" si="4"/>
        <v>54.38664</v>
      </c>
      <c r="R9" s="4"/>
      <c r="S9">
        <f>COUNTIF(Ventes!A:A,Factures!A9)</f>
        <v>1</v>
      </c>
      <c r="T9">
        <f>SUMIF(Ventes!A:A,Factures!A9,Ventes!F:F)</f>
        <v>2</v>
      </c>
      <c r="U9" t="b">
        <f>OR(COUNTIF(Ventes!A:A,Factures!A9) &gt;= 4,SUMIF(Ventes!A:A,Factures!A9,Ventes!F:F) &gt;=10)</f>
        <v>0</v>
      </c>
      <c r="W9" s="13">
        <f>IF(ISNUMBER(K9),J9+K9,J9)</f>
        <v>54.38664</v>
      </c>
      <c r="Y9" s="24">
        <f>IF(OR(COUNTIF(Ventes!A:A,Factures!A9) &gt;= 4,SUMIF(Ventes!A:A,Factures!A9,Ventes!F:F) &gt;=10), J9*0.05,0)</f>
        <v>0</v>
      </c>
      <c r="Z9" s="25">
        <f>Y9+J9</f>
        <v>54.38664</v>
      </c>
    </row>
    <row r="10" spans="1:26" x14ac:dyDescent="0.25">
      <c r="A10" t="s">
        <v>21</v>
      </c>
      <c r="B10" s="6">
        <v>45527</v>
      </c>
      <c r="C10" s="3">
        <f t="shared" si="0"/>
        <v>45548</v>
      </c>
      <c r="D10" t="s">
        <v>93</v>
      </c>
      <c r="E10" t="str">
        <f t="shared" si="1"/>
        <v>BASCHET</v>
      </c>
      <c r="F10" t="s">
        <v>56</v>
      </c>
      <c r="G10" t="s">
        <v>57</v>
      </c>
      <c r="H10" t="s">
        <v>58</v>
      </c>
      <c r="I10" t="s">
        <v>34</v>
      </c>
      <c r="J10" s="13">
        <f>SUMIF(Ventes!A:A,Factures!A10,Ventes!H:H)</f>
        <v>1125.1415999999999</v>
      </c>
      <c r="K10" s="13">
        <f>IF(OR(COUNTIF(Ventes!A:A,Factures!A10) &gt;= 4,SUMIF(Ventes!A:A,Factures!A10,Ventes!F:F) &gt;=10), J10*0.05,"")</f>
        <v>56.257080000000002</v>
      </c>
      <c r="L10" s="13">
        <f t="shared" si="2"/>
        <v>1181.39868</v>
      </c>
      <c r="M10" s="26">
        <f t="shared" si="3"/>
        <v>4</v>
      </c>
      <c r="N10" s="4" t="str">
        <f>_xlfn.XLOOKUP(M10,NumDept,Transporteur,"A DEFINIR",0)</f>
        <v>Colissimo</v>
      </c>
      <c r="O10" s="4"/>
      <c r="P10" s="37">
        <f>IF(OR(COUNTIF(Ventes!A:A,Factures!A10) &gt;= 4,SUMIF(Ventes!A:A,Factures!A10,Ventes!F:F) &gt;=10), J10*0.05,0)</f>
        <v>56.257080000000002</v>
      </c>
      <c r="Q10" s="13">
        <f t="shared" si="4"/>
        <v>1181.39868</v>
      </c>
      <c r="R10" s="4"/>
      <c r="S10">
        <f>COUNTIF(Ventes!A:A,Factures!A10)</f>
        <v>4</v>
      </c>
      <c r="T10">
        <f>SUMIF(Ventes!A:A,Factures!A10,Ventes!F:F)</f>
        <v>8</v>
      </c>
      <c r="U10" t="b">
        <f>OR(COUNTIF(Ventes!A:A,Factures!A10) &gt;= 4,SUMIF(Ventes!A:A,Factures!A10,Ventes!F:F) &gt;=10)</f>
        <v>1</v>
      </c>
      <c r="W10" s="13">
        <f>IF(ISNUMBER(K10),J10+K10,J10)</f>
        <v>1181.39868</v>
      </c>
      <c r="Y10" s="24">
        <f>IF(OR(COUNTIF(Ventes!A:A,Factures!A10) &gt;= 4,SUMIF(Ventes!A:A,Factures!A10,Ventes!F:F) &gt;=10), J10*0.05,0)</f>
        <v>56.257080000000002</v>
      </c>
      <c r="Z10" s="25">
        <f>Y10+J10</f>
        <v>1181.39868</v>
      </c>
    </row>
    <row r="11" spans="1:26" x14ac:dyDescent="0.25">
      <c r="A11" t="s">
        <v>22</v>
      </c>
      <c r="B11" s="6">
        <v>45495</v>
      </c>
      <c r="C11" s="3">
        <f t="shared" si="0"/>
        <v>45516</v>
      </c>
      <c r="D11" t="s">
        <v>208</v>
      </c>
      <c r="E11" t="str">
        <f t="shared" si="1"/>
        <v>CEREJA</v>
      </c>
      <c r="F11" t="s">
        <v>210</v>
      </c>
      <c r="G11" t="s">
        <v>211</v>
      </c>
      <c r="H11" t="s">
        <v>212</v>
      </c>
      <c r="I11" t="s">
        <v>209</v>
      </c>
      <c r="J11" s="13">
        <f>SUMIF(Ventes!A:A,Factures!A11,Ventes!H:H)</f>
        <v>241.04696000000001</v>
      </c>
      <c r="K11" s="13" t="str">
        <f>IF(OR(COUNTIF(Ventes!A:A,Factures!A11) &gt;= 4,SUMIF(Ventes!A:A,Factures!A11,Ventes!F:F) &gt;=10), J11*0.05,"")</f>
        <v/>
      </c>
      <c r="L11" s="13">
        <f t="shared" si="2"/>
        <v>241.04696000000001</v>
      </c>
      <c r="M11" s="26">
        <f t="shared" si="3"/>
        <v>99</v>
      </c>
      <c r="N11" s="4" t="str">
        <f>_xlfn.XLOOKUP(M11,NumDept,Transporteur,"A DEFINIR",0)</f>
        <v>A DEFINIR</v>
      </c>
      <c r="O11" s="4"/>
      <c r="P11" s="37">
        <f>IF(OR(COUNTIF(Ventes!A:A,Factures!A11) &gt;= 4,SUMIF(Ventes!A:A,Factures!A11,Ventes!F:F) &gt;=10), J11*0.05,0)</f>
        <v>0</v>
      </c>
      <c r="Q11" s="13">
        <f t="shared" si="4"/>
        <v>241.04696000000001</v>
      </c>
      <c r="R11" s="4"/>
      <c r="S11">
        <f>COUNTIF(Ventes!A:A,Factures!A11)</f>
        <v>2</v>
      </c>
      <c r="T11">
        <f>SUMIF(Ventes!A:A,Factures!A11,Ventes!F:F)</f>
        <v>3</v>
      </c>
      <c r="U11" t="b">
        <f>OR(COUNTIF(Ventes!A:A,Factures!A11) &gt;= 4,SUMIF(Ventes!A:A,Factures!A11,Ventes!F:F) &gt;=10)</f>
        <v>0</v>
      </c>
      <c r="W11" s="13">
        <f>IF(ISNUMBER(K11),J11+K11,J11)</f>
        <v>241.04696000000001</v>
      </c>
      <c r="Y11" s="24">
        <f>IF(OR(COUNTIF(Ventes!A:A,Factures!A11) &gt;= 4,SUMIF(Ventes!A:A,Factures!A11,Ventes!F:F) &gt;=10), J11*0.05,0)</f>
        <v>0</v>
      </c>
      <c r="Z11" s="25">
        <f>Y11+J11</f>
        <v>241.04696000000001</v>
      </c>
    </row>
    <row r="12" spans="1:26" x14ac:dyDescent="0.25">
      <c r="A12" t="s">
        <v>23</v>
      </c>
      <c r="B12" s="6">
        <v>45536</v>
      </c>
      <c r="C12" s="3">
        <f t="shared" si="0"/>
        <v>45555</v>
      </c>
      <c r="D12" t="s">
        <v>89</v>
      </c>
      <c r="E12" t="str">
        <f t="shared" si="1"/>
        <v>MINELLI</v>
      </c>
      <c r="F12" t="s">
        <v>59</v>
      </c>
      <c r="G12" t="s">
        <v>60</v>
      </c>
      <c r="H12" t="s">
        <v>61</v>
      </c>
      <c r="I12" t="s">
        <v>31</v>
      </c>
      <c r="J12" s="13">
        <f>SUMIF(Ventes!A:A,Factures!A12,Ventes!H:H)</f>
        <v>443.63000000000005</v>
      </c>
      <c r="K12" s="13" t="str">
        <f>IF(OR(COUNTIF(Ventes!A:A,Factures!A12) &gt;= 4,SUMIF(Ventes!A:A,Factures!A12,Ventes!F:F) &gt;=10), J12*0.05,"")</f>
        <v/>
      </c>
      <c r="L12" s="13">
        <f t="shared" si="2"/>
        <v>443.63000000000005</v>
      </c>
      <c r="M12" s="26">
        <f t="shared" si="3"/>
        <v>59</v>
      </c>
      <c r="N12" s="4" t="str">
        <f>_xlfn.XLOOKUP(M12,NumDept,Transporteur,"A DEFINIR",0)</f>
        <v>Toto Transport</v>
      </c>
      <c r="O12" s="4"/>
      <c r="P12" s="37">
        <f>IF(OR(COUNTIF(Ventes!A:A,Factures!A12) &gt;= 4,SUMIF(Ventes!A:A,Factures!A12,Ventes!F:F) &gt;=10), J12*0.05,0)</f>
        <v>0</v>
      </c>
      <c r="Q12" s="13">
        <f t="shared" si="4"/>
        <v>443.63000000000005</v>
      </c>
      <c r="R12" s="4"/>
      <c r="S12">
        <f>COUNTIF(Ventes!A:A,Factures!A12)</f>
        <v>1</v>
      </c>
      <c r="T12">
        <f>SUMIF(Ventes!A:A,Factures!A12,Ventes!F:F)</f>
        <v>1</v>
      </c>
      <c r="U12" t="b">
        <f>OR(COUNTIF(Ventes!A:A,Factures!A12) &gt;= 4,SUMIF(Ventes!A:A,Factures!A12,Ventes!F:F) &gt;=10)</f>
        <v>0</v>
      </c>
      <c r="W12" s="13">
        <f>IF(ISNUMBER(K12),J12+K12,J12)</f>
        <v>443.63000000000005</v>
      </c>
      <c r="Y12" s="24">
        <f>IF(OR(COUNTIF(Ventes!A:A,Factures!A12) &gt;= 4,SUMIF(Ventes!A:A,Factures!A12,Ventes!F:F) &gt;=10), J12*0.05,0)</f>
        <v>0</v>
      </c>
      <c r="Z12" s="25">
        <f>Y12+J12</f>
        <v>443.63000000000005</v>
      </c>
    </row>
    <row r="13" spans="1:26" x14ac:dyDescent="0.25">
      <c r="A13" t="s">
        <v>214</v>
      </c>
      <c r="B13" s="6">
        <v>45536</v>
      </c>
      <c r="C13" s="3">
        <f t="shared" si="0"/>
        <v>45555</v>
      </c>
      <c r="D13" t="s">
        <v>216</v>
      </c>
      <c r="E13" t="str">
        <f t="shared" si="1"/>
        <v>DE LAON</v>
      </c>
      <c r="F13" s="16">
        <v>51100</v>
      </c>
      <c r="G13" t="s">
        <v>217</v>
      </c>
      <c r="H13" t="s">
        <v>218</v>
      </c>
      <c r="I13" t="s">
        <v>219</v>
      </c>
      <c r="J13" s="13">
        <f>SUMIF(Ventes!A:A,Factures!A13,Ventes!H:H)</f>
        <v>138.31664000000001</v>
      </c>
      <c r="K13" s="13" t="str">
        <f>IF(OR(COUNTIF(Ventes!A:A,Factures!A13) &gt;= 4,SUMIF(Ventes!A:A,Factures!A13,Ventes!F:F) &gt;=10), J13*0.05,"")</f>
        <v/>
      </c>
      <c r="L13" s="13">
        <f t="shared" si="2"/>
        <v>138.31664000000001</v>
      </c>
      <c r="M13" s="26">
        <f t="shared" si="3"/>
        <v>51</v>
      </c>
      <c r="N13" s="4" t="str">
        <f>_xlfn.XLOOKUP(M13,NumDept,Transporteur,"A DEFINIR",0)</f>
        <v>Camion propre</v>
      </c>
      <c r="P13" s="37">
        <f>IF(OR(COUNTIF(Ventes!A:A,Factures!A13) &gt;= 4,SUMIF(Ventes!A:A,Factures!A13,Ventes!F:F) &gt;=10), J13*0.05,0)</f>
        <v>0</v>
      </c>
      <c r="Q13" s="13">
        <f t="shared" si="4"/>
        <v>138.31664000000001</v>
      </c>
      <c r="S13">
        <f>COUNTIF(Ventes!A:A,Factures!A13)</f>
        <v>2</v>
      </c>
      <c r="T13">
        <f>SUMIF(Ventes!A:A,Factures!A13,Ventes!F:F)</f>
        <v>4</v>
      </c>
      <c r="U13" t="b">
        <f>OR(COUNTIF(Ventes!A:A,Factures!A13) &gt;= 4,SUMIF(Ventes!A:A,Factures!A13,Ventes!F:F) &gt;=10)</f>
        <v>0</v>
      </c>
      <c r="W13" s="13">
        <f>IF(ISNUMBER(K13),J13+K13,J13)</f>
        <v>138.31664000000001</v>
      </c>
      <c r="Y13" s="24">
        <f>IF(OR(COUNTIF(Ventes!A:A,Factures!A13) &gt;= 4,SUMIF(Ventes!A:A,Factures!A13,Ventes!F:F) &gt;=10), J13*0.05,0)</f>
        <v>0</v>
      </c>
      <c r="Z13" s="25">
        <f>Y13+J13</f>
        <v>138.31664000000001</v>
      </c>
    </row>
    <row r="14" spans="1:26" x14ac:dyDescent="0.25">
      <c r="A14" t="s">
        <v>215</v>
      </c>
      <c r="B14" s="6">
        <v>45537</v>
      </c>
      <c r="C14" s="3">
        <f t="shared" si="0"/>
        <v>45558</v>
      </c>
      <c r="D14" t="s">
        <v>220</v>
      </c>
      <c r="E14" t="str">
        <f t="shared" si="1"/>
        <v>TOVALSKI</v>
      </c>
      <c r="F14" s="17">
        <v>33025</v>
      </c>
      <c r="G14" t="s">
        <v>221</v>
      </c>
      <c r="H14" t="s">
        <v>222</v>
      </c>
      <c r="I14" t="s">
        <v>223</v>
      </c>
      <c r="J14" s="13">
        <f>SUMIF(Ventes!A:A,Factures!A14,Ventes!H:H)</f>
        <v>1040.54016</v>
      </c>
      <c r="K14" s="13" t="str">
        <f>IF(OR(COUNTIF(Ventes!A:A,Factures!A14) &gt;= 4,SUMIF(Ventes!A:A,Factures!A14,Ventes!F:F) &gt;=10), J14*0.05,"")</f>
        <v/>
      </c>
      <c r="L14" s="13">
        <f t="shared" si="2"/>
        <v>1040.54016</v>
      </c>
      <c r="M14" s="26">
        <f t="shared" si="3"/>
        <v>33</v>
      </c>
      <c r="N14" s="4" t="str">
        <f>_xlfn.XLOOKUP(M14,NumDept,Transporteur,"A DEFINIR",0)</f>
        <v>Colissimo</v>
      </c>
      <c r="P14" s="37">
        <f>IF(OR(COUNTIF(Ventes!A:A,Factures!A14) &gt;= 4,SUMIF(Ventes!A:A,Factures!A14,Ventes!F:F) &gt;=10), J14*0.05,0)</f>
        <v>0</v>
      </c>
      <c r="Q14" s="13">
        <f t="shared" si="4"/>
        <v>1040.54016</v>
      </c>
      <c r="S14">
        <f>COUNTIF(Ventes!A:A,Factures!A14)</f>
        <v>3</v>
      </c>
      <c r="T14">
        <f>SUMIF(Ventes!A:A,Factures!A14,Ventes!F:F)</f>
        <v>9</v>
      </c>
      <c r="U14" t="b">
        <f>OR(COUNTIF(Ventes!A:A,Factures!A14) &gt;= 4,SUMIF(Ventes!A:A,Factures!A14,Ventes!F:F) &gt;=10)</f>
        <v>0</v>
      </c>
      <c r="W14" s="13">
        <f>IF(ISNUMBER(K14),J14+K14,J14)</f>
        <v>1040.54016</v>
      </c>
      <c r="Y14" s="24">
        <f>IF(OR(COUNTIF(Ventes!A:A,Factures!A14) &gt;= 4,SUMIF(Ventes!A:A,Factures!A14,Ventes!F:F) &gt;=10), J14*0.05,0)</f>
        <v>0</v>
      </c>
      <c r="Z14" s="25">
        <f>Y14+J14</f>
        <v>1040.54016</v>
      </c>
    </row>
  </sheetData>
  <phoneticPr fontId="3" type="noConversion"/>
  <pageMargins left="0.7" right="0.7" top="0.75" bottom="0.75" header="0.3" footer="0.3"/>
  <pageSetup paperSize="9" orientation="portrait" horizontalDpi="0" verticalDpi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04F09332-D309-F545-8954-80292EC67C69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L2:L14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2BF0A-E728-1444-BBEC-21B084D327A2}">
  <dimension ref="A1:G102"/>
  <sheetViews>
    <sheetView zoomScaleNormal="100" workbookViewId="0">
      <selection activeCell="E23" sqref="E23"/>
    </sheetView>
  </sheetViews>
  <sheetFormatPr baseColWidth="10" defaultRowHeight="19" x14ac:dyDescent="0.25"/>
  <cols>
    <col min="1" max="1" width="15.85546875" customWidth="1"/>
    <col min="2" max="2" width="22.28515625" customWidth="1"/>
    <col min="3" max="3" width="10.7109375" style="10"/>
  </cols>
  <sheetData>
    <row r="1" spans="1:7" ht="20" x14ac:dyDescent="0.25">
      <c r="A1" s="11" t="s">
        <v>203</v>
      </c>
      <c r="B1" s="8" t="s">
        <v>202</v>
      </c>
      <c r="C1" s="9" t="s">
        <v>201</v>
      </c>
    </row>
    <row r="2" spans="1:7" x14ac:dyDescent="0.25">
      <c r="A2" t="s">
        <v>213</v>
      </c>
      <c r="B2" t="s">
        <v>99</v>
      </c>
      <c r="C2" s="10">
        <v>2</v>
      </c>
    </row>
    <row r="3" spans="1:7" x14ac:dyDescent="0.25">
      <c r="A3" t="s">
        <v>213</v>
      </c>
      <c r="B3" t="s">
        <v>105</v>
      </c>
      <c r="C3" s="10">
        <v>8</v>
      </c>
    </row>
    <row r="4" spans="1:7" x14ac:dyDescent="0.25">
      <c r="A4" t="s">
        <v>213</v>
      </c>
      <c r="B4" t="s">
        <v>107</v>
      </c>
      <c r="C4" s="10">
        <v>10</v>
      </c>
      <c r="G4" s="12"/>
    </row>
    <row r="5" spans="1:7" x14ac:dyDescent="0.25">
      <c r="A5" t="s">
        <v>213</v>
      </c>
      <c r="B5" t="s">
        <v>151</v>
      </c>
      <c r="C5" s="10">
        <v>51</v>
      </c>
    </row>
    <row r="6" spans="1:7" x14ac:dyDescent="0.25">
      <c r="A6" t="s">
        <v>213</v>
      </c>
      <c r="B6" t="s">
        <v>152</v>
      </c>
      <c r="C6" s="10">
        <v>52</v>
      </c>
    </row>
    <row r="7" spans="1:7" x14ac:dyDescent="0.25">
      <c r="A7" t="s">
        <v>213</v>
      </c>
      <c r="B7" t="s">
        <v>154</v>
      </c>
      <c r="C7" s="10">
        <v>54</v>
      </c>
    </row>
    <row r="8" spans="1:7" x14ac:dyDescent="0.25">
      <c r="A8" t="s">
        <v>213</v>
      </c>
      <c r="B8" t="s">
        <v>155</v>
      </c>
      <c r="C8" s="10">
        <v>55</v>
      </c>
    </row>
    <row r="9" spans="1:7" x14ac:dyDescent="0.25">
      <c r="A9" t="s">
        <v>213</v>
      </c>
      <c r="B9" t="s">
        <v>157</v>
      </c>
      <c r="C9" s="10">
        <v>57</v>
      </c>
    </row>
    <row r="10" spans="1:7" x14ac:dyDescent="0.25">
      <c r="A10" t="s">
        <v>213</v>
      </c>
      <c r="B10" t="s">
        <v>162</v>
      </c>
      <c r="C10" s="10">
        <v>62</v>
      </c>
    </row>
    <row r="11" spans="1:7" x14ac:dyDescent="0.25">
      <c r="A11" t="s">
        <v>207</v>
      </c>
      <c r="B11" t="s">
        <v>100</v>
      </c>
      <c r="C11" s="10">
        <v>3</v>
      </c>
    </row>
    <row r="12" spans="1:7" x14ac:dyDescent="0.25">
      <c r="A12" t="s">
        <v>207</v>
      </c>
      <c r="B12" t="s">
        <v>101</v>
      </c>
      <c r="C12" s="10">
        <v>4</v>
      </c>
    </row>
    <row r="13" spans="1:7" x14ac:dyDescent="0.25">
      <c r="A13" t="s">
        <v>207</v>
      </c>
      <c r="B13" t="s">
        <v>102</v>
      </c>
      <c r="C13" s="10">
        <v>5</v>
      </c>
    </row>
    <row r="14" spans="1:7" x14ac:dyDescent="0.25">
      <c r="A14" t="s">
        <v>207</v>
      </c>
      <c r="B14" t="s">
        <v>103</v>
      </c>
      <c r="C14" s="10">
        <v>6</v>
      </c>
    </row>
    <row r="15" spans="1:7" x14ac:dyDescent="0.25">
      <c r="A15" t="s">
        <v>207</v>
      </c>
      <c r="B15" t="s">
        <v>106</v>
      </c>
      <c r="C15" s="10">
        <v>9</v>
      </c>
    </row>
    <row r="16" spans="1:7" x14ac:dyDescent="0.25">
      <c r="A16" t="s">
        <v>207</v>
      </c>
      <c r="B16" t="s">
        <v>108</v>
      </c>
      <c r="C16" s="10">
        <v>11</v>
      </c>
    </row>
    <row r="17" spans="1:3" x14ac:dyDescent="0.25">
      <c r="A17" t="s">
        <v>207</v>
      </c>
      <c r="B17" t="s">
        <v>109</v>
      </c>
      <c r="C17" s="10">
        <v>12</v>
      </c>
    </row>
    <row r="18" spans="1:3" x14ac:dyDescent="0.25">
      <c r="A18" t="s">
        <v>207</v>
      </c>
      <c r="B18" t="s">
        <v>110</v>
      </c>
      <c r="C18" s="10">
        <v>13</v>
      </c>
    </row>
    <row r="19" spans="1:3" x14ac:dyDescent="0.25">
      <c r="A19" t="s">
        <v>207</v>
      </c>
      <c r="B19" t="s">
        <v>111</v>
      </c>
      <c r="C19" s="10">
        <v>14</v>
      </c>
    </row>
    <row r="20" spans="1:3" x14ac:dyDescent="0.25">
      <c r="A20" t="s">
        <v>207</v>
      </c>
      <c r="B20" t="s">
        <v>112</v>
      </c>
      <c r="C20" s="10">
        <v>15</v>
      </c>
    </row>
    <row r="21" spans="1:3" x14ac:dyDescent="0.25">
      <c r="A21" t="s">
        <v>207</v>
      </c>
      <c r="B21" t="s">
        <v>113</v>
      </c>
      <c r="C21" s="10">
        <v>16</v>
      </c>
    </row>
    <row r="22" spans="1:3" x14ac:dyDescent="0.25">
      <c r="A22" t="s">
        <v>207</v>
      </c>
      <c r="B22" t="s">
        <v>114</v>
      </c>
      <c r="C22" s="10">
        <v>17</v>
      </c>
    </row>
    <row r="23" spans="1:3" x14ac:dyDescent="0.25">
      <c r="A23" t="s">
        <v>207</v>
      </c>
      <c r="B23" t="s">
        <v>115</v>
      </c>
      <c r="C23" s="10">
        <v>18</v>
      </c>
    </row>
    <row r="24" spans="1:3" x14ac:dyDescent="0.25">
      <c r="A24" t="s">
        <v>207</v>
      </c>
      <c r="B24" t="s">
        <v>116</v>
      </c>
      <c r="C24" s="10">
        <v>19</v>
      </c>
    </row>
    <row r="25" spans="1:3" x14ac:dyDescent="0.25">
      <c r="A25" t="s">
        <v>207</v>
      </c>
      <c r="B25" t="s">
        <v>123</v>
      </c>
      <c r="C25" s="10">
        <v>23</v>
      </c>
    </row>
    <row r="26" spans="1:3" x14ac:dyDescent="0.25">
      <c r="A26" t="s">
        <v>207</v>
      </c>
      <c r="B26" t="s">
        <v>124</v>
      </c>
      <c r="C26" s="10">
        <v>24</v>
      </c>
    </row>
    <row r="27" spans="1:3" x14ac:dyDescent="0.25">
      <c r="A27" t="s">
        <v>207</v>
      </c>
      <c r="B27" t="s">
        <v>126</v>
      </c>
      <c r="C27" s="10">
        <v>26</v>
      </c>
    </row>
    <row r="28" spans="1:3" x14ac:dyDescent="0.25">
      <c r="A28" t="s">
        <v>207</v>
      </c>
      <c r="B28" t="s">
        <v>127</v>
      </c>
      <c r="C28" s="10">
        <v>27</v>
      </c>
    </row>
    <row r="29" spans="1:3" x14ac:dyDescent="0.25">
      <c r="A29" t="s">
        <v>207</v>
      </c>
      <c r="B29" t="s">
        <v>128</v>
      </c>
      <c r="C29" s="10">
        <v>28</v>
      </c>
    </row>
    <row r="30" spans="1:3" x14ac:dyDescent="0.25">
      <c r="A30" t="s">
        <v>207</v>
      </c>
      <c r="B30" t="s">
        <v>129</v>
      </c>
      <c r="C30" s="10">
        <v>29</v>
      </c>
    </row>
    <row r="31" spans="1:3" x14ac:dyDescent="0.25">
      <c r="A31" t="s">
        <v>207</v>
      </c>
      <c r="B31" t="s">
        <v>130</v>
      </c>
      <c r="C31" s="10">
        <v>30</v>
      </c>
    </row>
    <row r="32" spans="1:3" x14ac:dyDescent="0.25">
      <c r="A32" t="s">
        <v>207</v>
      </c>
      <c r="B32" t="s">
        <v>131</v>
      </c>
      <c r="C32" s="10">
        <v>31</v>
      </c>
    </row>
    <row r="33" spans="1:3" x14ac:dyDescent="0.25">
      <c r="A33" t="s">
        <v>207</v>
      </c>
      <c r="B33" t="s">
        <v>132</v>
      </c>
      <c r="C33" s="10">
        <v>32</v>
      </c>
    </row>
    <row r="34" spans="1:3" x14ac:dyDescent="0.25">
      <c r="A34" t="s">
        <v>207</v>
      </c>
      <c r="B34" t="s">
        <v>133</v>
      </c>
      <c r="C34" s="10">
        <v>33</v>
      </c>
    </row>
    <row r="35" spans="1:3" x14ac:dyDescent="0.25">
      <c r="A35" t="s">
        <v>207</v>
      </c>
      <c r="B35" t="s">
        <v>134</v>
      </c>
      <c r="C35" s="10">
        <v>34</v>
      </c>
    </row>
    <row r="36" spans="1:3" x14ac:dyDescent="0.25">
      <c r="A36" t="s">
        <v>207</v>
      </c>
      <c r="B36" t="s">
        <v>135</v>
      </c>
      <c r="C36" s="10">
        <v>35</v>
      </c>
    </row>
    <row r="37" spans="1:3" x14ac:dyDescent="0.25">
      <c r="A37" t="s">
        <v>207</v>
      </c>
      <c r="B37" t="s">
        <v>136</v>
      </c>
      <c r="C37" s="10">
        <v>36</v>
      </c>
    </row>
    <row r="38" spans="1:3" x14ac:dyDescent="0.25">
      <c r="A38" t="s">
        <v>207</v>
      </c>
      <c r="B38" t="s">
        <v>137</v>
      </c>
      <c r="C38" s="10">
        <v>37</v>
      </c>
    </row>
    <row r="39" spans="1:3" x14ac:dyDescent="0.25">
      <c r="A39" t="s">
        <v>207</v>
      </c>
      <c r="B39" t="s">
        <v>140</v>
      </c>
      <c r="C39" s="10">
        <v>40</v>
      </c>
    </row>
    <row r="40" spans="1:3" x14ac:dyDescent="0.25">
      <c r="A40" t="s">
        <v>207</v>
      </c>
      <c r="B40" t="s">
        <v>141</v>
      </c>
      <c r="C40" s="10">
        <v>41</v>
      </c>
    </row>
    <row r="41" spans="1:3" x14ac:dyDescent="0.25">
      <c r="A41" t="s">
        <v>207</v>
      </c>
      <c r="B41" t="s">
        <v>142</v>
      </c>
      <c r="C41" s="10">
        <v>42</v>
      </c>
    </row>
    <row r="42" spans="1:3" x14ac:dyDescent="0.25">
      <c r="A42" t="s">
        <v>207</v>
      </c>
      <c r="B42" t="s">
        <v>143</v>
      </c>
      <c r="C42" s="10">
        <v>43</v>
      </c>
    </row>
    <row r="43" spans="1:3" x14ac:dyDescent="0.25">
      <c r="A43" t="s">
        <v>207</v>
      </c>
      <c r="B43" t="s">
        <v>144</v>
      </c>
      <c r="C43" s="10">
        <v>44</v>
      </c>
    </row>
    <row r="44" spans="1:3" x14ac:dyDescent="0.25">
      <c r="A44" t="s">
        <v>207</v>
      </c>
      <c r="B44" t="s">
        <v>145</v>
      </c>
      <c r="C44" s="10">
        <v>45</v>
      </c>
    </row>
    <row r="45" spans="1:3" x14ac:dyDescent="0.25">
      <c r="A45" t="s">
        <v>207</v>
      </c>
      <c r="B45" t="s">
        <v>146</v>
      </c>
      <c r="C45" s="10">
        <v>46</v>
      </c>
    </row>
    <row r="46" spans="1:3" x14ac:dyDescent="0.25">
      <c r="A46" t="s">
        <v>207</v>
      </c>
      <c r="B46" t="s">
        <v>147</v>
      </c>
      <c r="C46" s="10">
        <v>47</v>
      </c>
    </row>
    <row r="47" spans="1:3" x14ac:dyDescent="0.25">
      <c r="A47" t="s">
        <v>207</v>
      </c>
      <c r="B47" t="s">
        <v>148</v>
      </c>
      <c r="C47" s="10">
        <v>48</v>
      </c>
    </row>
    <row r="48" spans="1:3" x14ac:dyDescent="0.25">
      <c r="A48" t="s">
        <v>207</v>
      </c>
      <c r="B48" t="s">
        <v>149</v>
      </c>
      <c r="C48" s="10">
        <v>49</v>
      </c>
    </row>
    <row r="49" spans="1:3" x14ac:dyDescent="0.25">
      <c r="A49" t="s">
        <v>207</v>
      </c>
      <c r="B49" t="s">
        <v>150</v>
      </c>
      <c r="C49" s="10">
        <v>50</v>
      </c>
    </row>
    <row r="50" spans="1:3" x14ac:dyDescent="0.25">
      <c r="A50" t="s">
        <v>207</v>
      </c>
      <c r="B50" t="s">
        <v>153</v>
      </c>
      <c r="C50" s="10">
        <v>53</v>
      </c>
    </row>
    <row r="51" spans="1:3" x14ac:dyDescent="0.25">
      <c r="A51" t="s">
        <v>207</v>
      </c>
      <c r="B51" t="s">
        <v>156</v>
      </c>
      <c r="C51" s="10">
        <v>56</v>
      </c>
    </row>
    <row r="52" spans="1:3" x14ac:dyDescent="0.25">
      <c r="A52" t="s">
        <v>207</v>
      </c>
      <c r="B52" t="s">
        <v>158</v>
      </c>
      <c r="C52" s="10">
        <v>58</v>
      </c>
    </row>
    <row r="53" spans="1:3" x14ac:dyDescent="0.25">
      <c r="A53" t="s">
        <v>207</v>
      </c>
      <c r="B53" t="s">
        <v>161</v>
      </c>
      <c r="C53" s="10">
        <v>61</v>
      </c>
    </row>
    <row r="54" spans="1:3" x14ac:dyDescent="0.25">
      <c r="A54" t="s">
        <v>207</v>
      </c>
      <c r="B54" t="s">
        <v>163</v>
      </c>
      <c r="C54" s="10">
        <v>63</v>
      </c>
    </row>
    <row r="55" spans="1:3" x14ac:dyDescent="0.25">
      <c r="A55" t="s">
        <v>207</v>
      </c>
      <c r="B55" t="s">
        <v>164</v>
      </c>
      <c r="C55" s="10">
        <v>64</v>
      </c>
    </row>
    <row r="56" spans="1:3" x14ac:dyDescent="0.25">
      <c r="A56" t="s">
        <v>207</v>
      </c>
      <c r="B56" t="s">
        <v>165</v>
      </c>
      <c r="C56" s="10">
        <v>65</v>
      </c>
    </row>
    <row r="57" spans="1:3" x14ac:dyDescent="0.25">
      <c r="A57" t="s">
        <v>207</v>
      </c>
      <c r="B57" t="s">
        <v>166</v>
      </c>
      <c r="C57" s="10">
        <v>66</v>
      </c>
    </row>
    <row r="58" spans="1:3" x14ac:dyDescent="0.25">
      <c r="A58" t="s">
        <v>207</v>
      </c>
      <c r="B58" t="s">
        <v>172</v>
      </c>
      <c r="C58" s="10">
        <v>72</v>
      </c>
    </row>
    <row r="59" spans="1:3" x14ac:dyDescent="0.25">
      <c r="A59" t="s">
        <v>207</v>
      </c>
      <c r="B59" t="s">
        <v>180</v>
      </c>
      <c r="C59" s="10">
        <v>80</v>
      </c>
    </row>
    <row r="60" spans="1:3" x14ac:dyDescent="0.25">
      <c r="A60" t="s">
        <v>207</v>
      </c>
      <c r="B60" t="s">
        <v>181</v>
      </c>
      <c r="C60" s="10">
        <v>81</v>
      </c>
    </row>
    <row r="61" spans="1:3" x14ac:dyDescent="0.25">
      <c r="A61" t="s">
        <v>207</v>
      </c>
      <c r="B61" t="s">
        <v>182</v>
      </c>
      <c r="C61" s="10">
        <v>82</v>
      </c>
    </row>
    <row r="62" spans="1:3" x14ac:dyDescent="0.25">
      <c r="A62" t="s">
        <v>207</v>
      </c>
      <c r="B62" t="s">
        <v>183</v>
      </c>
      <c r="C62" s="10">
        <v>83</v>
      </c>
    </row>
    <row r="63" spans="1:3" x14ac:dyDescent="0.25">
      <c r="A63" t="s">
        <v>207</v>
      </c>
      <c r="B63" t="s">
        <v>184</v>
      </c>
      <c r="C63" s="10">
        <v>84</v>
      </c>
    </row>
    <row r="64" spans="1:3" x14ac:dyDescent="0.25">
      <c r="A64" t="s">
        <v>207</v>
      </c>
      <c r="B64" t="s">
        <v>185</v>
      </c>
      <c r="C64" s="10">
        <v>85</v>
      </c>
    </row>
    <row r="65" spans="1:3" x14ac:dyDescent="0.25">
      <c r="A65" t="s">
        <v>205</v>
      </c>
      <c r="B65" t="s">
        <v>125</v>
      </c>
      <c r="C65" s="10">
        <v>25</v>
      </c>
    </row>
    <row r="66" spans="1:3" x14ac:dyDescent="0.25">
      <c r="A66" t="s">
        <v>205</v>
      </c>
      <c r="B66" t="s">
        <v>167</v>
      </c>
      <c r="C66" s="10">
        <v>67</v>
      </c>
    </row>
    <row r="67" spans="1:3" x14ac:dyDescent="0.25">
      <c r="A67" t="s">
        <v>205</v>
      </c>
      <c r="B67" t="s">
        <v>168</v>
      </c>
      <c r="C67" s="10">
        <v>68</v>
      </c>
    </row>
    <row r="68" spans="1:3" x14ac:dyDescent="0.25">
      <c r="A68" t="s">
        <v>205</v>
      </c>
      <c r="B68" t="s">
        <v>188</v>
      </c>
      <c r="C68" s="10">
        <v>88</v>
      </c>
    </row>
    <row r="69" spans="1:3" x14ac:dyDescent="0.25">
      <c r="A69" t="s">
        <v>205</v>
      </c>
      <c r="B69" t="s">
        <v>190</v>
      </c>
      <c r="C69" s="10">
        <v>90</v>
      </c>
    </row>
    <row r="70" spans="1:3" x14ac:dyDescent="0.25">
      <c r="A70" t="s">
        <v>205</v>
      </c>
      <c r="B70" t="s">
        <v>196</v>
      </c>
      <c r="C70" s="10">
        <v>971</v>
      </c>
    </row>
    <row r="71" spans="1:3" x14ac:dyDescent="0.25">
      <c r="A71" t="s">
        <v>205</v>
      </c>
      <c r="B71" t="s">
        <v>197</v>
      </c>
      <c r="C71" s="10">
        <v>972</v>
      </c>
    </row>
    <row r="72" spans="1:3" x14ac:dyDescent="0.25">
      <c r="A72" t="s">
        <v>205</v>
      </c>
      <c r="B72" t="s">
        <v>198</v>
      </c>
      <c r="C72" s="10">
        <v>973</v>
      </c>
    </row>
    <row r="73" spans="1:3" x14ac:dyDescent="0.25">
      <c r="A73" t="s">
        <v>205</v>
      </c>
      <c r="B73" t="s">
        <v>199</v>
      </c>
      <c r="C73" s="10">
        <v>974</v>
      </c>
    </row>
    <row r="74" spans="1:3" x14ac:dyDescent="0.25">
      <c r="A74" t="s">
        <v>205</v>
      </c>
      <c r="B74" t="s">
        <v>200</v>
      </c>
      <c r="C74" s="10">
        <v>976</v>
      </c>
    </row>
    <row r="75" spans="1:3" x14ac:dyDescent="0.25">
      <c r="A75" t="s">
        <v>205</v>
      </c>
      <c r="B75" t="s">
        <v>118</v>
      </c>
      <c r="C75" s="10" t="s">
        <v>117</v>
      </c>
    </row>
    <row r="76" spans="1:3" x14ac:dyDescent="0.25">
      <c r="A76" t="s">
        <v>205</v>
      </c>
      <c r="B76" t="s">
        <v>120</v>
      </c>
      <c r="C76" s="10" t="s">
        <v>119</v>
      </c>
    </row>
    <row r="77" spans="1:3" x14ac:dyDescent="0.25">
      <c r="A77" t="s">
        <v>204</v>
      </c>
      <c r="B77" t="s">
        <v>98</v>
      </c>
      <c r="C77" s="10">
        <v>1</v>
      </c>
    </row>
    <row r="78" spans="1:3" x14ac:dyDescent="0.25">
      <c r="A78" t="s">
        <v>204</v>
      </c>
      <c r="B78" t="s">
        <v>121</v>
      </c>
      <c r="C78" s="10">
        <v>21</v>
      </c>
    </row>
    <row r="79" spans="1:3" x14ac:dyDescent="0.25">
      <c r="A79" t="s">
        <v>204</v>
      </c>
      <c r="B79" t="s">
        <v>122</v>
      </c>
      <c r="C79" s="10">
        <v>22</v>
      </c>
    </row>
    <row r="80" spans="1:3" x14ac:dyDescent="0.25">
      <c r="A80" t="s">
        <v>204</v>
      </c>
      <c r="B80" t="s">
        <v>139</v>
      </c>
      <c r="C80" s="10">
        <v>39</v>
      </c>
    </row>
    <row r="81" spans="1:3" x14ac:dyDescent="0.25">
      <c r="A81" t="s">
        <v>204</v>
      </c>
      <c r="B81" t="s">
        <v>169</v>
      </c>
      <c r="C81" s="10">
        <v>69</v>
      </c>
    </row>
    <row r="82" spans="1:3" x14ac:dyDescent="0.25">
      <c r="A82" t="s">
        <v>204</v>
      </c>
      <c r="B82" t="s">
        <v>170</v>
      </c>
      <c r="C82" s="10">
        <v>70</v>
      </c>
    </row>
    <row r="83" spans="1:3" x14ac:dyDescent="0.25">
      <c r="A83" t="s">
        <v>204</v>
      </c>
      <c r="B83" t="s">
        <v>171</v>
      </c>
      <c r="C83" s="10">
        <v>71</v>
      </c>
    </row>
    <row r="84" spans="1:3" x14ac:dyDescent="0.25">
      <c r="A84" t="s">
        <v>204</v>
      </c>
      <c r="B84" t="s">
        <v>173</v>
      </c>
      <c r="C84" s="10">
        <v>73</v>
      </c>
    </row>
    <row r="85" spans="1:3" x14ac:dyDescent="0.25">
      <c r="A85" t="s">
        <v>204</v>
      </c>
      <c r="B85" t="s">
        <v>174</v>
      </c>
      <c r="C85" s="10">
        <v>74</v>
      </c>
    </row>
    <row r="86" spans="1:3" x14ac:dyDescent="0.25">
      <c r="A86" t="s">
        <v>204</v>
      </c>
      <c r="B86" t="s">
        <v>186</v>
      </c>
      <c r="C86" s="10">
        <v>86</v>
      </c>
    </row>
    <row r="87" spans="1:3" x14ac:dyDescent="0.25">
      <c r="A87" t="s">
        <v>204</v>
      </c>
      <c r="B87" t="s">
        <v>187</v>
      </c>
      <c r="C87" s="10">
        <v>87</v>
      </c>
    </row>
    <row r="88" spans="1:3" x14ac:dyDescent="0.25">
      <c r="A88" t="s">
        <v>206</v>
      </c>
      <c r="B88" t="s">
        <v>104</v>
      </c>
      <c r="C88" s="10">
        <v>7</v>
      </c>
    </row>
    <row r="89" spans="1:3" x14ac:dyDescent="0.25">
      <c r="A89" t="s">
        <v>206</v>
      </c>
      <c r="B89" t="s">
        <v>138</v>
      </c>
      <c r="C89" s="10">
        <v>38</v>
      </c>
    </row>
    <row r="90" spans="1:3" x14ac:dyDescent="0.25">
      <c r="A90" t="s">
        <v>206</v>
      </c>
      <c r="B90" t="s">
        <v>159</v>
      </c>
      <c r="C90" s="10">
        <v>59</v>
      </c>
    </row>
    <row r="91" spans="1:3" x14ac:dyDescent="0.25">
      <c r="A91" t="s">
        <v>206</v>
      </c>
      <c r="B91" t="s">
        <v>160</v>
      </c>
      <c r="C91" s="10">
        <v>60</v>
      </c>
    </row>
    <row r="92" spans="1:3" x14ac:dyDescent="0.25">
      <c r="A92" t="s">
        <v>206</v>
      </c>
      <c r="B92" t="s">
        <v>175</v>
      </c>
      <c r="C92" s="10">
        <v>75</v>
      </c>
    </row>
    <row r="93" spans="1:3" x14ac:dyDescent="0.25">
      <c r="A93" t="s">
        <v>206</v>
      </c>
      <c r="B93" t="s">
        <v>176</v>
      </c>
      <c r="C93" s="10">
        <v>76</v>
      </c>
    </row>
    <row r="94" spans="1:3" x14ac:dyDescent="0.25">
      <c r="A94" t="s">
        <v>206</v>
      </c>
      <c r="B94" t="s">
        <v>177</v>
      </c>
      <c r="C94" s="10">
        <v>77</v>
      </c>
    </row>
    <row r="95" spans="1:3" x14ac:dyDescent="0.25">
      <c r="A95" t="s">
        <v>206</v>
      </c>
      <c r="B95" t="s">
        <v>178</v>
      </c>
      <c r="C95" s="10">
        <v>78</v>
      </c>
    </row>
    <row r="96" spans="1:3" x14ac:dyDescent="0.25">
      <c r="A96" t="s">
        <v>206</v>
      </c>
      <c r="B96" t="s">
        <v>179</v>
      </c>
      <c r="C96" s="10">
        <v>79</v>
      </c>
    </row>
    <row r="97" spans="1:3" x14ac:dyDescent="0.25">
      <c r="A97" t="s">
        <v>206</v>
      </c>
      <c r="B97" t="s">
        <v>189</v>
      </c>
      <c r="C97" s="10">
        <v>89</v>
      </c>
    </row>
    <row r="98" spans="1:3" x14ac:dyDescent="0.25">
      <c r="A98" t="s">
        <v>206</v>
      </c>
      <c r="B98" t="s">
        <v>191</v>
      </c>
      <c r="C98" s="10">
        <v>91</v>
      </c>
    </row>
    <row r="99" spans="1:3" x14ac:dyDescent="0.25">
      <c r="A99" t="s">
        <v>206</v>
      </c>
      <c r="B99" t="s">
        <v>192</v>
      </c>
      <c r="C99" s="10">
        <v>92</v>
      </c>
    </row>
    <row r="100" spans="1:3" x14ac:dyDescent="0.25">
      <c r="A100" t="s">
        <v>206</v>
      </c>
      <c r="B100" t="s">
        <v>193</v>
      </c>
      <c r="C100" s="10">
        <v>93</v>
      </c>
    </row>
    <row r="101" spans="1:3" x14ac:dyDescent="0.25">
      <c r="A101" t="s">
        <v>206</v>
      </c>
      <c r="B101" t="s">
        <v>194</v>
      </c>
      <c r="C101" s="10">
        <v>94</v>
      </c>
    </row>
    <row r="102" spans="1:3" x14ac:dyDescent="0.25">
      <c r="A102" t="s">
        <v>206</v>
      </c>
      <c r="B102" t="s">
        <v>195</v>
      </c>
      <c r="C102" s="10">
        <v>95</v>
      </c>
    </row>
  </sheetData>
  <sortState xmlns:xlrd2="http://schemas.microsoft.com/office/spreadsheetml/2017/richdata2" ref="A2:C102">
    <sortCondition ref="A2:A102"/>
    <sortCondition ref="C2:C102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275B6-E1ED-C84E-A382-6DD75010E511}">
  <dimension ref="A1:I14"/>
  <sheetViews>
    <sheetView workbookViewId="0">
      <selection activeCell="F1" sqref="F1"/>
    </sheetView>
  </sheetViews>
  <sheetFormatPr baseColWidth="10" defaultRowHeight="19" x14ac:dyDescent="0.25"/>
  <cols>
    <col min="3" max="3" width="10.7109375" style="18"/>
    <col min="4" max="4" width="10.7109375" style="13"/>
  </cols>
  <sheetData>
    <row r="1" spans="1:9" x14ac:dyDescent="0.25">
      <c r="A1" t="s">
        <v>224</v>
      </c>
      <c r="B1" t="s">
        <v>3</v>
      </c>
      <c r="C1" s="18" t="s">
        <v>4</v>
      </c>
      <c r="D1" s="13" t="s">
        <v>6</v>
      </c>
      <c r="E1" t="s">
        <v>8</v>
      </c>
    </row>
    <row r="2" spans="1:9" x14ac:dyDescent="0.25">
      <c r="A2" t="s">
        <v>62</v>
      </c>
      <c r="B2" t="s">
        <v>225</v>
      </c>
      <c r="C2" s="18" t="s">
        <v>226</v>
      </c>
      <c r="D2" s="13">
        <f>_xlfn.NUMBERVALUE(C2,".")</f>
        <v>12.16</v>
      </c>
      <c r="E2" s="15">
        <f t="shared" ref="E2:E14" si="0">D2*(1+TVA)</f>
        <v>14.579840000000001</v>
      </c>
      <c r="G2" s="19" t="s">
        <v>247</v>
      </c>
    </row>
    <row r="3" spans="1:9" x14ac:dyDescent="0.25">
      <c r="A3" t="s">
        <v>63</v>
      </c>
      <c r="B3" t="s">
        <v>75</v>
      </c>
      <c r="C3" s="18" t="s">
        <v>227</v>
      </c>
      <c r="D3" s="13">
        <f t="shared" ref="D3:D14" si="1">_xlfn.NUMBERVALUE(C3,".")</f>
        <v>22.68</v>
      </c>
      <c r="E3" s="15">
        <f t="shared" si="0"/>
        <v>27.19332</v>
      </c>
      <c r="G3" s="19" t="s">
        <v>248</v>
      </c>
    </row>
    <row r="4" spans="1:9" x14ac:dyDescent="0.25">
      <c r="A4" t="s">
        <v>64</v>
      </c>
      <c r="B4" t="s">
        <v>78</v>
      </c>
      <c r="C4" s="18" t="s">
        <v>228</v>
      </c>
      <c r="D4" s="13">
        <f t="shared" si="1"/>
        <v>34.28</v>
      </c>
      <c r="E4" s="15">
        <f t="shared" si="0"/>
        <v>41.10172</v>
      </c>
      <c r="G4" s="19" t="s">
        <v>249</v>
      </c>
    </row>
    <row r="5" spans="1:9" x14ac:dyDescent="0.25">
      <c r="A5" t="s">
        <v>65</v>
      </c>
      <c r="B5" t="s">
        <v>229</v>
      </c>
      <c r="C5" s="18" t="s">
        <v>230</v>
      </c>
      <c r="D5" s="13">
        <f t="shared" si="1"/>
        <v>95.51</v>
      </c>
      <c r="E5" s="15">
        <f t="shared" si="0"/>
        <v>114.51649000000002</v>
      </c>
      <c r="G5" s="19" t="s">
        <v>250</v>
      </c>
    </row>
    <row r="6" spans="1:9" x14ac:dyDescent="0.25">
      <c r="A6" t="s">
        <v>66</v>
      </c>
      <c r="B6" t="s">
        <v>81</v>
      </c>
      <c r="C6" s="18" t="s">
        <v>231</v>
      </c>
      <c r="D6" s="13">
        <f t="shared" si="1"/>
        <v>73.290000000000006</v>
      </c>
      <c r="E6" s="15">
        <f t="shared" si="0"/>
        <v>87.874710000000007</v>
      </c>
      <c r="G6" s="18" t="s">
        <v>251</v>
      </c>
      <c r="H6" t="e">
        <f t="shared" ref="H6" si="2">_xlfn.NUMBERVALUE(G6,".")</f>
        <v>#VALUE!</v>
      </c>
      <c r="I6">
        <f>_xlfn.NUMBERVALUE(SUBSTITUTE(G6,"$",""),".")</f>
        <v>73.290000000000006</v>
      </c>
    </row>
    <row r="7" spans="1:9" x14ac:dyDescent="0.25">
      <c r="A7" t="s">
        <v>67</v>
      </c>
      <c r="B7" t="s">
        <v>232</v>
      </c>
      <c r="C7" s="18" t="s">
        <v>233</v>
      </c>
      <c r="D7" s="13">
        <f t="shared" si="1"/>
        <v>54.46</v>
      </c>
      <c r="E7" s="15">
        <f t="shared" si="0"/>
        <v>65.297539999999998</v>
      </c>
    </row>
    <row r="8" spans="1:9" x14ac:dyDescent="0.25">
      <c r="A8" t="s">
        <v>68</v>
      </c>
      <c r="B8" t="s">
        <v>79</v>
      </c>
      <c r="C8" s="18" t="s">
        <v>234</v>
      </c>
      <c r="D8" s="13">
        <f t="shared" si="1"/>
        <v>87.39</v>
      </c>
      <c r="E8" s="15">
        <f t="shared" si="0"/>
        <v>104.78061000000001</v>
      </c>
    </row>
    <row r="9" spans="1:9" x14ac:dyDescent="0.25">
      <c r="A9" t="s">
        <v>235</v>
      </c>
      <c r="B9" t="s">
        <v>236</v>
      </c>
      <c r="C9" s="18" t="s">
        <v>237</v>
      </c>
      <c r="D9" s="13">
        <f t="shared" si="1"/>
        <v>88.76</v>
      </c>
      <c r="E9" s="15">
        <f t="shared" si="0"/>
        <v>106.42324000000001</v>
      </c>
    </row>
    <row r="10" spans="1:9" x14ac:dyDescent="0.25">
      <c r="A10" t="s">
        <v>69</v>
      </c>
      <c r="B10" t="s">
        <v>74</v>
      </c>
      <c r="C10" s="18" t="s">
        <v>238</v>
      </c>
      <c r="D10" s="13">
        <f t="shared" si="1"/>
        <v>282.73</v>
      </c>
      <c r="E10" s="15">
        <f t="shared" si="0"/>
        <v>338.99327000000005</v>
      </c>
    </row>
    <row r="11" spans="1:9" x14ac:dyDescent="0.25">
      <c r="A11" t="s">
        <v>70</v>
      </c>
      <c r="B11" t="s">
        <v>239</v>
      </c>
      <c r="C11" s="18" t="s">
        <v>240</v>
      </c>
      <c r="D11" s="13">
        <f t="shared" si="1"/>
        <v>398.32</v>
      </c>
      <c r="E11" s="15">
        <f t="shared" si="0"/>
        <v>477.58568000000002</v>
      </c>
    </row>
    <row r="12" spans="1:9" x14ac:dyDescent="0.25">
      <c r="A12" t="s">
        <v>241</v>
      </c>
      <c r="B12" t="s">
        <v>242</v>
      </c>
      <c r="C12" s="18" t="s">
        <v>243</v>
      </c>
      <c r="D12" s="13">
        <f t="shared" si="1"/>
        <v>172.8</v>
      </c>
      <c r="E12" s="15">
        <f t="shared" si="0"/>
        <v>207.18720000000002</v>
      </c>
    </row>
    <row r="13" spans="1:9" x14ac:dyDescent="0.25">
      <c r="A13" t="s">
        <v>71</v>
      </c>
      <c r="B13" t="s">
        <v>82</v>
      </c>
      <c r="C13" s="18" t="s">
        <v>244</v>
      </c>
      <c r="D13" s="13">
        <f t="shared" si="1"/>
        <v>370.57</v>
      </c>
      <c r="E13" s="15">
        <f t="shared" si="0"/>
        <v>444.31343000000004</v>
      </c>
    </row>
    <row r="14" spans="1:9" x14ac:dyDescent="0.25">
      <c r="A14" t="s">
        <v>72</v>
      </c>
      <c r="B14" t="s">
        <v>245</v>
      </c>
      <c r="C14" s="18" t="s">
        <v>246</v>
      </c>
      <c r="D14" s="13">
        <f t="shared" si="1"/>
        <v>163.80000000000001</v>
      </c>
      <c r="E14" s="15">
        <f t="shared" si="0"/>
        <v>196.39620000000002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4AD00-C9FB-3D46-9BE4-15DC102B16F7}">
  <dimension ref="A1:E12"/>
  <sheetViews>
    <sheetView workbookViewId="0">
      <selection activeCell="B12" sqref="B12"/>
    </sheetView>
  </sheetViews>
  <sheetFormatPr baseColWidth="10" defaultRowHeight="19" x14ac:dyDescent="0.25"/>
  <cols>
    <col min="2" max="2" width="16.5703125" customWidth="1"/>
    <col min="3" max="3" width="13.42578125" customWidth="1"/>
  </cols>
  <sheetData>
    <row r="1" spans="1:5" x14ac:dyDescent="0.25">
      <c r="B1" s="20" t="s">
        <v>252</v>
      </c>
      <c r="C1" s="20" t="s">
        <v>253</v>
      </c>
      <c r="D1" s="21" t="s">
        <v>254</v>
      </c>
      <c r="E1">
        <v>2024</v>
      </c>
    </row>
    <row r="2" spans="1:5" x14ac:dyDescent="0.25">
      <c r="A2" s="22">
        <v>45292</v>
      </c>
      <c r="B2" t="s">
        <v>255</v>
      </c>
    </row>
    <row r="3" spans="1:5" x14ac:dyDescent="0.25">
      <c r="A3" s="22">
        <v>45383</v>
      </c>
      <c r="B3" t="s">
        <v>256</v>
      </c>
    </row>
    <row r="4" spans="1:5" x14ac:dyDescent="0.25">
      <c r="A4" s="22">
        <v>45413</v>
      </c>
      <c r="B4" t="s">
        <v>257</v>
      </c>
    </row>
    <row r="5" spans="1:5" x14ac:dyDescent="0.25">
      <c r="A5" s="22">
        <v>45420</v>
      </c>
      <c r="B5" t="s">
        <v>258</v>
      </c>
    </row>
    <row r="6" spans="1:5" x14ac:dyDescent="0.25">
      <c r="A6" s="22">
        <v>45421</v>
      </c>
      <c r="B6" t="s">
        <v>259</v>
      </c>
    </row>
    <row r="7" spans="1:5" x14ac:dyDescent="0.25">
      <c r="A7" s="22">
        <v>45432</v>
      </c>
      <c r="B7" t="s">
        <v>260</v>
      </c>
    </row>
    <row r="8" spans="1:5" x14ac:dyDescent="0.25">
      <c r="A8" s="22">
        <v>45487</v>
      </c>
      <c r="B8" t="s">
        <v>261</v>
      </c>
    </row>
    <row r="9" spans="1:5" x14ac:dyDescent="0.25">
      <c r="A9" s="22">
        <v>45519</v>
      </c>
      <c r="B9" t="s">
        <v>262</v>
      </c>
    </row>
    <row r="10" spans="1:5" x14ac:dyDescent="0.25">
      <c r="A10" s="22">
        <v>45597</v>
      </c>
      <c r="B10" t="s">
        <v>263</v>
      </c>
    </row>
    <row r="11" spans="1:5" x14ac:dyDescent="0.25">
      <c r="A11" s="22">
        <v>45607</v>
      </c>
      <c r="B11" t="s">
        <v>264</v>
      </c>
    </row>
    <row r="12" spans="1:5" x14ac:dyDescent="0.25">
      <c r="A12" s="22">
        <v>45651</v>
      </c>
      <c r="B12" t="s">
        <v>265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D1023-1897-AB48-9FEF-0A0A68D7E2BF}">
  <dimension ref="A1:N16"/>
  <sheetViews>
    <sheetView workbookViewId="0">
      <selection activeCell="F16" sqref="F16"/>
    </sheetView>
  </sheetViews>
  <sheetFormatPr baseColWidth="10" defaultRowHeight="19" x14ac:dyDescent="0.25"/>
  <cols>
    <col min="1" max="1" width="12" customWidth="1"/>
    <col min="3" max="3" width="13.28515625" customWidth="1"/>
    <col min="4" max="4" width="12" customWidth="1"/>
    <col min="5" max="5" width="12.5703125" customWidth="1"/>
    <col min="7" max="7" width="12" customWidth="1"/>
    <col min="8" max="8" width="11" bestFit="1" customWidth="1"/>
  </cols>
  <sheetData>
    <row r="1" spans="1:14" x14ac:dyDescent="0.25">
      <c r="A1" s="11" t="s">
        <v>275</v>
      </c>
      <c r="B1" s="11" t="s">
        <v>276</v>
      </c>
    </row>
    <row r="2" spans="1:14" x14ac:dyDescent="0.25">
      <c r="A2" s="2" t="s">
        <v>0</v>
      </c>
      <c r="B2" s="2" t="s">
        <v>1</v>
      </c>
      <c r="C2" s="2" t="s">
        <v>2</v>
      </c>
      <c r="D2" s="2" t="s">
        <v>3</v>
      </c>
      <c r="E2" s="14" t="s">
        <v>4</v>
      </c>
      <c r="F2" s="2" t="s">
        <v>5</v>
      </c>
      <c r="G2" s="2" t="s">
        <v>6</v>
      </c>
      <c r="H2" s="2" t="s">
        <v>8</v>
      </c>
      <c r="I2" s="2" t="s">
        <v>274</v>
      </c>
    </row>
    <row r="3" spans="1:14" x14ac:dyDescent="0.25">
      <c r="A3" s="27"/>
      <c r="B3" s="27"/>
      <c r="C3" s="27"/>
      <c r="D3" s="27" t="s">
        <v>285</v>
      </c>
      <c r="E3" s="27"/>
      <c r="F3" s="27" t="s">
        <v>286</v>
      </c>
      <c r="G3" s="27"/>
      <c r="H3" s="27"/>
      <c r="I3" s="27"/>
    </row>
    <row r="5" spans="1:14" x14ac:dyDescent="0.25">
      <c r="A5" s="11" t="s">
        <v>280</v>
      </c>
      <c r="B5">
        <f>DCOUNTA(Ventes,$A$2,ZoneRechVentes)</f>
        <v>5</v>
      </c>
      <c r="C5" s="11" t="s">
        <v>287</v>
      </c>
      <c r="D5" s="13">
        <f>DAVERAGE(Ventes,$G$2,ZoneRechVentes)</f>
        <v>222.4</v>
      </c>
      <c r="E5" s="11" t="s">
        <v>281</v>
      </c>
      <c r="F5" s="28">
        <f>DAVERAGE(Ventes,$F$2,ZoneRechVentes)</f>
        <v>3.6</v>
      </c>
      <c r="G5" s="11" t="s">
        <v>283</v>
      </c>
      <c r="H5" s="13">
        <f>DAVERAGE(Ventes,$I$2,ZoneRechVentes)</f>
        <v>67.631999999999991</v>
      </c>
    </row>
    <row r="6" spans="1:14" x14ac:dyDescent="0.25">
      <c r="A6" s="11"/>
      <c r="C6" s="11" t="s">
        <v>288</v>
      </c>
      <c r="D6" s="13">
        <f>DSUM(Ventes,$G$2,ZoneRechVentes)</f>
        <v>1112</v>
      </c>
      <c r="E6" s="11" t="s">
        <v>282</v>
      </c>
      <c r="F6" s="28">
        <f>DSUM(Ventes,$F$2,ZoneRechVentes)</f>
        <v>18</v>
      </c>
      <c r="G6" s="11" t="s">
        <v>284</v>
      </c>
      <c r="H6" s="13">
        <f>DSUM(Ventes,$I$2,ZoneRechVentes)</f>
        <v>338.15999999999997</v>
      </c>
    </row>
    <row r="10" spans="1:14" x14ac:dyDescent="0.25">
      <c r="A10" s="11" t="s">
        <v>277</v>
      </c>
      <c r="B10" s="11" t="s">
        <v>278</v>
      </c>
    </row>
    <row r="11" spans="1:14" x14ac:dyDescent="0.25">
      <c r="A11" s="5" t="s">
        <v>0</v>
      </c>
      <c r="B11" s="5" t="s">
        <v>1</v>
      </c>
      <c r="C11" s="5" t="s">
        <v>9</v>
      </c>
      <c r="D11" s="5" t="s">
        <v>84</v>
      </c>
      <c r="E11" s="5" t="s">
        <v>83</v>
      </c>
      <c r="F11" s="5" t="s">
        <v>24</v>
      </c>
      <c r="G11" s="5" t="s">
        <v>12</v>
      </c>
      <c r="H11" s="5" t="s">
        <v>10</v>
      </c>
      <c r="I11" s="5" t="s">
        <v>11</v>
      </c>
      <c r="J11" s="5" t="s">
        <v>8</v>
      </c>
      <c r="K11" s="5" t="s">
        <v>95</v>
      </c>
      <c r="L11" s="5" t="s">
        <v>94</v>
      </c>
      <c r="M11" s="5" t="s">
        <v>96</v>
      </c>
      <c r="N11" s="5" t="s">
        <v>97</v>
      </c>
    </row>
    <row r="12" spans="1:14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 t="s">
        <v>293</v>
      </c>
    </row>
    <row r="15" spans="1:14" x14ac:dyDescent="0.25">
      <c r="A15" s="11" t="s">
        <v>279</v>
      </c>
      <c r="B15">
        <f>DCOUNTA(Factures,$A$2,ZoneRechFactures)</f>
        <v>4</v>
      </c>
      <c r="C15" s="11" t="s">
        <v>289</v>
      </c>
      <c r="D15" s="13">
        <f>DAVERAGE(Factures,$J$11,ZoneRechFactures)</f>
        <v>279.24110500000006</v>
      </c>
      <c r="E15" s="11" t="s">
        <v>291</v>
      </c>
      <c r="F15" s="13">
        <f>DAVERAGE(Factures,$K$11,ZoneRechFactures)</f>
        <v>13.596660000000004</v>
      </c>
    </row>
    <row r="16" spans="1:14" x14ac:dyDescent="0.25">
      <c r="C16" s="11" t="s">
        <v>290</v>
      </c>
      <c r="D16" s="13">
        <f>DSUM(Factures,$J$11,ZoneRechFactures)</f>
        <v>1116.9644200000002</v>
      </c>
      <c r="E16" s="11" t="s">
        <v>292</v>
      </c>
      <c r="F16" s="13">
        <f>DSUM(Factures,$K$11,ZoneRechFactures)</f>
        <v>13.596660000000004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EEED3-C2DF-B548-BCCD-E3777BA3972F}">
  <sheetPr>
    <tabColor theme="5"/>
  </sheetPr>
  <dimension ref="A3:H26"/>
  <sheetViews>
    <sheetView workbookViewId="0">
      <selection activeCell="F7" sqref="F7"/>
    </sheetView>
  </sheetViews>
  <sheetFormatPr baseColWidth="10" defaultRowHeight="19" x14ac:dyDescent="0.25"/>
  <cols>
    <col min="1" max="1" width="17.42578125" bestFit="1" customWidth="1"/>
    <col min="2" max="2" width="17.85546875" bestFit="1" customWidth="1"/>
    <col min="3" max="3" width="16.140625" bestFit="1" customWidth="1"/>
    <col min="4" max="4" width="9.140625" bestFit="1" customWidth="1"/>
    <col min="5" max="5" width="14.5703125" customWidth="1"/>
    <col min="6" max="6" width="16.140625" bestFit="1" customWidth="1"/>
    <col min="7" max="7" width="19.5703125" bestFit="1" customWidth="1"/>
    <col min="8" max="8" width="17.85546875" bestFit="1" customWidth="1"/>
  </cols>
  <sheetData>
    <row r="3" spans="1:8" x14ac:dyDescent="0.25">
      <c r="A3" s="38" t="s">
        <v>313</v>
      </c>
      <c r="B3" t="s">
        <v>311</v>
      </c>
      <c r="C3" t="s">
        <v>312</v>
      </c>
      <c r="D3" t="s">
        <v>314</v>
      </c>
      <c r="G3" s="38" t="s">
        <v>274</v>
      </c>
      <c r="H3" t="s">
        <v>311</v>
      </c>
    </row>
    <row r="4" spans="1:8" x14ac:dyDescent="0.25">
      <c r="A4" s="31" t="s">
        <v>81</v>
      </c>
      <c r="B4" s="39">
        <v>10</v>
      </c>
      <c r="C4" s="15">
        <v>719.74</v>
      </c>
      <c r="D4" s="35">
        <v>0.15012473197226694</v>
      </c>
      <c r="E4" s="35"/>
      <c r="G4" s="40" t="s">
        <v>315</v>
      </c>
      <c r="H4" s="39">
        <v>2</v>
      </c>
    </row>
    <row r="5" spans="1:8" x14ac:dyDescent="0.25">
      <c r="A5" s="32" t="s">
        <v>66</v>
      </c>
      <c r="B5" s="39">
        <v>10</v>
      </c>
      <c r="C5" s="15">
        <v>719.74</v>
      </c>
      <c r="D5" s="35">
        <v>0.15012473197226694</v>
      </c>
      <c r="E5" s="35"/>
      <c r="G5" s="40" t="s">
        <v>316</v>
      </c>
      <c r="H5" s="39">
        <v>21</v>
      </c>
    </row>
    <row r="6" spans="1:8" x14ac:dyDescent="0.25">
      <c r="A6" s="31" t="s">
        <v>76</v>
      </c>
      <c r="B6" s="39">
        <v>2</v>
      </c>
      <c r="C6" s="15">
        <v>24</v>
      </c>
      <c r="D6" s="35">
        <v>5.0059654421518969E-3</v>
      </c>
      <c r="E6" s="35"/>
      <c r="G6" s="40" t="s">
        <v>317</v>
      </c>
      <c r="H6" s="39">
        <v>8</v>
      </c>
    </row>
    <row r="7" spans="1:8" x14ac:dyDescent="0.25">
      <c r="A7" s="32" t="s">
        <v>62</v>
      </c>
      <c r="B7" s="39">
        <v>2</v>
      </c>
      <c r="C7" s="15">
        <v>24</v>
      </c>
      <c r="D7" s="35">
        <v>5.0059654421518969E-3</v>
      </c>
      <c r="E7" s="35"/>
      <c r="G7" s="40" t="s">
        <v>318</v>
      </c>
      <c r="H7" s="39">
        <v>15</v>
      </c>
    </row>
    <row r="8" spans="1:8" x14ac:dyDescent="0.25">
      <c r="A8" s="31" t="s">
        <v>74</v>
      </c>
      <c r="B8" s="39">
        <v>2</v>
      </c>
      <c r="C8" s="15">
        <v>562</v>
      </c>
      <c r="D8" s="35">
        <v>0.11722302410372359</v>
      </c>
      <c r="E8" s="35"/>
      <c r="G8" s="40" t="s">
        <v>319</v>
      </c>
      <c r="H8" s="39">
        <v>10</v>
      </c>
    </row>
    <row r="9" spans="1:8" x14ac:dyDescent="0.25">
      <c r="A9" s="32" t="s">
        <v>69</v>
      </c>
      <c r="B9" s="39">
        <v>2</v>
      </c>
      <c r="C9" s="15">
        <v>562</v>
      </c>
      <c r="D9" s="35">
        <v>0.11722302410372359</v>
      </c>
      <c r="E9" s="35"/>
      <c r="G9" s="40" t="s">
        <v>320</v>
      </c>
      <c r="H9" s="39">
        <v>4</v>
      </c>
    </row>
    <row r="10" spans="1:8" x14ac:dyDescent="0.25">
      <c r="A10" s="31" t="s">
        <v>77</v>
      </c>
      <c r="B10" s="39">
        <v>1</v>
      </c>
      <c r="C10" s="15">
        <v>300</v>
      </c>
      <c r="D10" s="35">
        <v>6.2574568026898716E-2</v>
      </c>
      <c r="E10" s="35"/>
      <c r="G10" s="40" t="s">
        <v>321</v>
      </c>
      <c r="H10" s="39">
        <v>1</v>
      </c>
    </row>
    <row r="11" spans="1:8" x14ac:dyDescent="0.25">
      <c r="A11" s="32" t="s">
        <v>70</v>
      </c>
      <c r="B11" s="39">
        <v>1</v>
      </c>
      <c r="C11" s="15">
        <v>300</v>
      </c>
      <c r="D11" s="35">
        <v>6.2574568026898716E-2</v>
      </c>
      <c r="E11" s="35"/>
      <c r="G11" s="40" t="s">
        <v>322</v>
      </c>
      <c r="H11" s="39">
        <v>2</v>
      </c>
    </row>
    <row r="12" spans="1:8" x14ac:dyDescent="0.25">
      <c r="A12" s="31" t="s">
        <v>75</v>
      </c>
      <c r="B12" s="39">
        <v>21</v>
      </c>
      <c r="C12" s="15">
        <v>474.24</v>
      </c>
      <c r="D12" s="35">
        <v>9.8917877136921489E-2</v>
      </c>
      <c r="E12" s="35"/>
      <c r="G12" s="40" t="s">
        <v>323</v>
      </c>
      <c r="H12" s="39">
        <v>1</v>
      </c>
    </row>
    <row r="13" spans="1:8" x14ac:dyDescent="0.25">
      <c r="A13" s="32" t="s">
        <v>63</v>
      </c>
      <c r="B13" s="39">
        <v>21</v>
      </c>
      <c r="C13" s="15">
        <v>474.24</v>
      </c>
      <c r="D13" s="35">
        <v>9.8917877136921489E-2</v>
      </c>
      <c r="E13" s="35"/>
      <c r="G13" s="40" t="s">
        <v>324</v>
      </c>
      <c r="H13" s="39">
        <v>3</v>
      </c>
    </row>
    <row r="14" spans="1:8" x14ac:dyDescent="0.25">
      <c r="A14" s="31" t="s">
        <v>73</v>
      </c>
      <c r="B14" s="39">
        <v>3</v>
      </c>
      <c r="C14" s="15">
        <v>334.78</v>
      </c>
      <c r="D14" s="35">
        <v>6.9829046280150492E-2</v>
      </c>
      <c r="E14" s="35"/>
      <c r="G14" s="40" t="s">
        <v>295</v>
      </c>
      <c r="H14" s="39">
        <v>67</v>
      </c>
    </row>
    <row r="15" spans="1:8" x14ac:dyDescent="0.25">
      <c r="A15" s="32" t="s">
        <v>68</v>
      </c>
      <c r="B15" s="39">
        <v>2</v>
      </c>
      <c r="C15" s="15">
        <v>174.78</v>
      </c>
      <c r="D15" s="35">
        <v>3.6455943332471187E-2</v>
      </c>
      <c r="E15" s="35"/>
    </row>
    <row r="16" spans="1:8" x14ac:dyDescent="0.25">
      <c r="A16" s="32" t="s">
        <v>72</v>
      </c>
      <c r="B16" s="39">
        <v>1</v>
      </c>
      <c r="C16" s="15">
        <v>160</v>
      </c>
      <c r="D16" s="35">
        <v>3.3373102947679312E-2</v>
      </c>
      <c r="E16" s="35"/>
    </row>
    <row r="17" spans="1:5" x14ac:dyDescent="0.25">
      <c r="A17" s="31" t="s">
        <v>79</v>
      </c>
      <c r="B17" s="39">
        <v>2</v>
      </c>
      <c r="C17" s="15">
        <v>174.78</v>
      </c>
      <c r="D17" s="35">
        <v>3.6455943332471187E-2</v>
      </c>
      <c r="E17" s="35"/>
    </row>
    <row r="18" spans="1:5" x14ac:dyDescent="0.25">
      <c r="A18" s="32" t="s">
        <v>68</v>
      </c>
      <c r="B18" s="39">
        <v>2</v>
      </c>
      <c r="C18" s="15">
        <v>174.78</v>
      </c>
      <c r="D18" s="35">
        <v>3.6455943332471187E-2</v>
      </c>
      <c r="E18" s="35"/>
    </row>
    <row r="19" spans="1:5" x14ac:dyDescent="0.25">
      <c r="A19" s="31" t="s">
        <v>82</v>
      </c>
      <c r="B19" s="39">
        <v>3</v>
      </c>
      <c r="C19" s="15">
        <v>1110</v>
      </c>
      <c r="D19" s="35">
        <v>0.23152590169952525</v>
      </c>
      <c r="E19" s="35"/>
    </row>
    <row r="20" spans="1:5" x14ac:dyDescent="0.25">
      <c r="A20" s="32" t="s">
        <v>71</v>
      </c>
      <c r="B20" s="39">
        <v>3</v>
      </c>
      <c r="C20" s="15">
        <v>1110</v>
      </c>
      <c r="D20" s="35">
        <v>0.23152590169952525</v>
      </c>
      <c r="E20" s="35"/>
    </row>
    <row r="21" spans="1:5" x14ac:dyDescent="0.25">
      <c r="A21" s="31" t="s">
        <v>80</v>
      </c>
      <c r="B21" s="39">
        <v>15</v>
      </c>
      <c r="C21" s="15">
        <v>816.90000000000009</v>
      </c>
      <c r="D21" s="35">
        <v>0.17039054873724521</v>
      </c>
      <c r="E21" s="35"/>
    </row>
    <row r="22" spans="1:5" x14ac:dyDescent="0.25">
      <c r="A22" s="32" t="s">
        <v>67</v>
      </c>
      <c r="B22" s="39">
        <v>15</v>
      </c>
      <c r="C22" s="15">
        <v>816.90000000000009</v>
      </c>
      <c r="D22" s="35">
        <v>0.17039054873724521</v>
      </c>
      <c r="E22" s="35"/>
    </row>
    <row r="23" spans="1:5" x14ac:dyDescent="0.25">
      <c r="A23" s="31" t="s">
        <v>78</v>
      </c>
      <c r="B23" s="39">
        <v>8</v>
      </c>
      <c r="C23" s="15">
        <v>277.84000000000003</v>
      </c>
      <c r="D23" s="35">
        <v>5.7952393268645132E-2</v>
      </c>
      <c r="E23" s="35"/>
    </row>
    <row r="24" spans="1:5" x14ac:dyDescent="0.25">
      <c r="A24" s="32" t="s">
        <v>64</v>
      </c>
      <c r="B24" s="39">
        <v>3</v>
      </c>
      <c r="C24" s="15">
        <v>102.84</v>
      </c>
      <c r="D24" s="35">
        <v>2.1450561919620879E-2</v>
      </c>
      <c r="E24" s="35"/>
    </row>
    <row r="25" spans="1:5" x14ac:dyDescent="0.25">
      <c r="A25" s="32" t="s">
        <v>65</v>
      </c>
      <c r="B25" s="39">
        <v>5</v>
      </c>
      <c r="C25" s="15">
        <v>175</v>
      </c>
      <c r="D25" s="35">
        <v>3.6501831349024245E-2</v>
      </c>
      <c r="E25" s="35"/>
    </row>
    <row r="26" spans="1:5" x14ac:dyDescent="0.25">
      <c r="A26" s="31" t="s">
        <v>295</v>
      </c>
      <c r="B26" s="39">
        <v>67</v>
      </c>
      <c r="C26" s="15">
        <v>4794.2800000000007</v>
      </c>
      <c r="D26" s="35">
        <v>1</v>
      </c>
      <c r="E26" s="3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978B9-0C87-E742-AA48-9D6ED988B6B7}">
  <sheetPr>
    <tabColor theme="5"/>
  </sheetPr>
  <dimension ref="A3:E40"/>
  <sheetViews>
    <sheetView topLeftCell="A24" workbookViewId="0">
      <selection activeCell="J22" sqref="J22"/>
    </sheetView>
  </sheetViews>
  <sheetFormatPr baseColWidth="10" defaultRowHeight="19" x14ac:dyDescent="0.25"/>
  <cols>
    <col min="1" max="1" width="17.42578125" bestFit="1" customWidth="1"/>
    <col min="2" max="3" width="12.85546875" customWidth="1"/>
    <col min="4" max="4" width="16.85546875" bestFit="1" customWidth="1"/>
    <col min="5" max="5" width="13.140625" customWidth="1"/>
    <col min="6" max="12" width="6" bestFit="1" customWidth="1"/>
    <col min="13" max="13" width="11.85546875" bestFit="1" customWidth="1"/>
    <col min="14" max="14" width="17.85546875" bestFit="1" customWidth="1"/>
    <col min="15" max="15" width="18" bestFit="1" customWidth="1"/>
    <col min="16" max="16" width="17.85546875" bestFit="1" customWidth="1"/>
    <col min="17" max="17" width="18" bestFit="1" customWidth="1"/>
    <col min="18" max="18" width="17.85546875" bestFit="1" customWidth="1"/>
    <col min="19" max="19" width="18" bestFit="1" customWidth="1"/>
    <col min="20" max="20" width="17.85546875" bestFit="1" customWidth="1"/>
    <col min="21" max="21" width="18" bestFit="1" customWidth="1"/>
    <col min="22" max="22" width="17.85546875" bestFit="1" customWidth="1"/>
    <col min="23" max="23" width="18" bestFit="1" customWidth="1"/>
    <col min="24" max="24" width="22.5703125" bestFit="1" customWidth="1"/>
    <col min="25" max="25" width="22.85546875" bestFit="1" customWidth="1"/>
  </cols>
  <sheetData>
    <row r="3" spans="1:5" x14ac:dyDescent="0.25">
      <c r="A3" s="33" t="s">
        <v>297</v>
      </c>
      <c r="B3" s="10" t="s">
        <v>301</v>
      </c>
      <c r="C3" s="10" t="s">
        <v>302</v>
      </c>
    </row>
    <row r="4" spans="1:5" x14ac:dyDescent="0.25">
      <c r="A4" s="31" t="s">
        <v>296</v>
      </c>
      <c r="B4" s="39">
        <v>3</v>
      </c>
      <c r="C4" s="34">
        <v>127.75</v>
      </c>
    </row>
    <row r="5" spans="1:5" x14ac:dyDescent="0.25">
      <c r="A5" s="31" t="s">
        <v>213</v>
      </c>
      <c r="B5" s="39">
        <v>17</v>
      </c>
      <c r="C5" s="34">
        <v>211.33</v>
      </c>
    </row>
    <row r="6" spans="1:5" x14ac:dyDescent="0.25">
      <c r="A6" s="31" t="s">
        <v>207</v>
      </c>
      <c r="B6" s="39">
        <v>33</v>
      </c>
      <c r="C6" s="34">
        <v>2025.3300000000002</v>
      </c>
    </row>
    <row r="7" spans="1:5" x14ac:dyDescent="0.25">
      <c r="A7" s="31" t="s">
        <v>206</v>
      </c>
      <c r="B7" s="39">
        <v>14</v>
      </c>
      <c r="C7" s="34">
        <v>640.06999999999994</v>
      </c>
    </row>
    <row r="8" spans="1:5" x14ac:dyDescent="0.25">
      <c r="A8" s="31" t="s">
        <v>295</v>
      </c>
      <c r="B8" s="39">
        <v>67</v>
      </c>
      <c r="C8" s="34">
        <v>3004.4800000000005</v>
      </c>
    </row>
    <row r="15" spans="1:5" x14ac:dyDescent="0.25">
      <c r="A15" s="33" t="s">
        <v>298</v>
      </c>
      <c r="B15" s="10" t="s">
        <v>301</v>
      </c>
      <c r="C15" s="10" t="s">
        <v>302</v>
      </c>
      <c r="D15" s="10" t="s">
        <v>299</v>
      </c>
      <c r="E15" s="10" t="s">
        <v>300</v>
      </c>
    </row>
    <row r="16" spans="1:5" x14ac:dyDescent="0.25">
      <c r="A16" s="31">
        <v>4</v>
      </c>
      <c r="B16" s="39">
        <v>8</v>
      </c>
      <c r="C16" s="34">
        <v>740.74</v>
      </c>
      <c r="D16" s="34">
        <v>938.40000000000009</v>
      </c>
      <c r="E16" s="35">
        <v>0.19573324878813919</v>
      </c>
    </row>
    <row r="17" spans="1:5" x14ac:dyDescent="0.25">
      <c r="A17" s="32" t="s">
        <v>57</v>
      </c>
      <c r="B17" s="39">
        <v>8</v>
      </c>
      <c r="C17" s="34">
        <v>740.74</v>
      </c>
      <c r="D17" s="34">
        <v>938.40000000000009</v>
      </c>
      <c r="E17" s="35">
        <v>0.19573324878813919</v>
      </c>
    </row>
    <row r="18" spans="1:5" x14ac:dyDescent="0.25">
      <c r="A18" s="31">
        <v>23</v>
      </c>
      <c r="B18" s="39">
        <v>6</v>
      </c>
      <c r="C18" s="34">
        <v>433.66999999999996</v>
      </c>
      <c r="D18" s="34">
        <v>533.05999999999995</v>
      </c>
      <c r="E18" s="35">
        <v>0.11118666410806208</v>
      </c>
    </row>
    <row r="19" spans="1:5" x14ac:dyDescent="0.25">
      <c r="A19" s="32" t="s">
        <v>45</v>
      </c>
      <c r="B19" s="39">
        <v>6</v>
      </c>
      <c r="C19" s="34">
        <v>433.66999999999996</v>
      </c>
      <c r="D19" s="34">
        <v>533.05999999999995</v>
      </c>
      <c r="E19" s="35">
        <v>0.11118666410806208</v>
      </c>
    </row>
    <row r="20" spans="1:5" x14ac:dyDescent="0.25">
      <c r="A20" s="31">
        <v>33</v>
      </c>
      <c r="B20" s="39">
        <v>9</v>
      </c>
      <c r="C20" s="34">
        <v>494.46000000000004</v>
      </c>
      <c r="D20" s="34">
        <v>867.84</v>
      </c>
      <c r="E20" s="35">
        <v>0.1810157103882126</v>
      </c>
    </row>
    <row r="21" spans="1:5" x14ac:dyDescent="0.25">
      <c r="A21" s="32" t="s">
        <v>221</v>
      </c>
      <c r="B21" s="39">
        <v>9</v>
      </c>
      <c r="C21" s="34">
        <v>494.46000000000004</v>
      </c>
      <c r="D21" s="34">
        <v>867.84</v>
      </c>
      <c r="E21" s="35">
        <v>0.1810157103882126</v>
      </c>
    </row>
    <row r="22" spans="1:5" x14ac:dyDescent="0.25">
      <c r="A22" s="31">
        <v>51</v>
      </c>
      <c r="B22" s="39">
        <v>4</v>
      </c>
      <c r="C22" s="34">
        <v>57.68</v>
      </c>
      <c r="D22" s="34">
        <v>115.36</v>
      </c>
      <c r="E22" s="35">
        <v>2.4062007225276783E-2</v>
      </c>
    </row>
    <row r="23" spans="1:5" x14ac:dyDescent="0.25">
      <c r="A23" s="32" t="s">
        <v>217</v>
      </c>
      <c r="B23" s="39">
        <v>4</v>
      </c>
      <c r="C23" s="34">
        <v>57.68</v>
      </c>
      <c r="D23" s="34">
        <v>115.36</v>
      </c>
      <c r="E23" s="35">
        <v>2.4062007225276783E-2</v>
      </c>
    </row>
    <row r="24" spans="1:5" x14ac:dyDescent="0.25">
      <c r="A24" s="31">
        <v>52</v>
      </c>
      <c r="B24" s="39">
        <v>2</v>
      </c>
      <c r="C24" s="34">
        <v>22.68</v>
      </c>
      <c r="D24" s="34">
        <v>45.36</v>
      </c>
      <c r="E24" s="35">
        <v>9.461274685667086E-3</v>
      </c>
    </row>
    <row r="25" spans="1:5" x14ac:dyDescent="0.25">
      <c r="A25" s="32" t="s">
        <v>54</v>
      </c>
      <c r="B25" s="39">
        <v>2</v>
      </c>
      <c r="C25" s="34">
        <v>22.68</v>
      </c>
      <c r="D25" s="34">
        <v>45.36</v>
      </c>
      <c r="E25" s="35">
        <v>9.461274685667086E-3</v>
      </c>
    </row>
    <row r="26" spans="1:5" x14ac:dyDescent="0.25">
      <c r="A26" s="31">
        <v>53</v>
      </c>
      <c r="B26" s="39">
        <v>4</v>
      </c>
      <c r="C26" s="34">
        <v>302</v>
      </c>
      <c r="D26" s="34">
        <v>346</v>
      </c>
      <c r="E26" s="35">
        <v>7.2169335124356512E-2</v>
      </c>
    </row>
    <row r="27" spans="1:5" x14ac:dyDescent="0.25">
      <c r="A27" s="32" t="s">
        <v>39</v>
      </c>
      <c r="B27" s="39">
        <v>4</v>
      </c>
      <c r="C27" s="34">
        <v>302</v>
      </c>
      <c r="D27" s="34">
        <v>346</v>
      </c>
      <c r="E27" s="35">
        <v>7.2169335124356512E-2</v>
      </c>
    </row>
    <row r="28" spans="1:5" x14ac:dyDescent="0.25">
      <c r="A28" s="31">
        <v>55</v>
      </c>
      <c r="B28" s="39">
        <v>11</v>
      </c>
      <c r="C28" s="34">
        <v>130.97</v>
      </c>
      <c r="D28" s="34">
        <v>488.88</v>
      </c>
      <c r="E28" s="35">
        <v>0.10197151605663414</v>
      </c>
    </row>
    <row r="29" spans="1:5" x14ac:dyDescent="0.25">
      <c r="A29" s="32" t="s">
        <v>51</v>
      </c>
      <c r="B29" s="39">
        <v>11</v>
      </c>
      <c r="C29" s="34">
        <v>130.97</v>
      </c>
      <c r="D29" s="34">
        <v>488.88</v>
      </c>
      <c r="E29" s="35">
        <v>0.10197151605663414</v>
      </c>
    </row>
    <row r="30" spans="1:5" x14ac:dyDescent="0.25">
      <c r="A30" s="31">
        <v>59</v>
      </c>
      <c r="B30" s="39">
        <v>11</v>
      </c>
      <c r="C30" s="34">
        <v>392.68</v>
      </c>
      <c r="D30" s="34">
        <v>596.79999999999995</v>
      </c>
      <c r="E30" s="35">
        <v>0.12448167399484383</v>
      </c>
    </row>
    <row r="31" spans="1:5" x14ac:dyDescent="0.25">
      <c r="A31" s="32" t="s">
        <v>60</v>
      </c>
      <c r="B31" s="39">
        <v>11</v>
      </c>
      <c r="C31" s="34">
        <v>392.68</v>
      </c>
      <c r="D31" s="34">
        <v>596.79999999999995</v>
      </c>
      <c r="E31" s="35">
        <v>0.12448167399484383</v>
      </c>
    </row>
    <row r="32" spans="1:5" x14ac:dyDescent="0.25">
      <c r="A32" s="31">
        <v>64</v>
      </c>
      <c r="B32" s="39">
        <v>6</v>
      </c>
      <c r="C32" s="34">
        <v>54.46</v>
      </c>
      <c r="D32" s="34">
        <v>326.76</v>
      </c>
      <c r="E32" s="35">
        <v>6.8156219494898071E-2</v>
      </c>
    </row>
    <row r="33" spans="1:5" x14ac:dyDescent="0.25">
      <c r="A33" s="32" t="s">
        <v>48</v>
      </c>
      <c r="B33" s="39">
        <v>6</v>
      </c>
      <c r="C33" s="34">
        <v>54.46</v>
      </c>
      <c r="D33" s="34">
        <v>326.76</v>
      </c>
      <c r="E33" s="35">
        <v>6.8156219494898071E-2</v>
      </c>
    </row>
    <row r="34" spans="1:5" x14ac:dyDescent="0.25">
      <c r="A34" s="31">
        <v>89</v>
      </c>
      <c r="B34" s="39">
        <v>1</v>
      </c>
      <c r="C34" s="34">
        <v>160</v>
      </c>
      <c r="D34" s="34">
        <v>160</v>
      </c>
      <c r="E34" s="35">
        <v>3.3373102947679312E-2</v>
      </c>
    </row>
    <row r="35" spans="1:5" x14ac:dyDescent="0.25">
      <c r="A35" s="32" t="s">
        <v>36</v>
      </c>
      <c r="B35" s="39">
        <v>1</v>
      </c>
      <c r="C35" s="34">
        <v>160</v>
      </c>
      <c r="D35" s="34">
        <v>160</v>
      </c>
      <c r="E35" s="35">
        <v>3.3373102947679312E-2</v>
      </c>
    </row>
    <row r="36" spans="1:5" x14ac:dyDescent="0.25">
      <c r="A36" s="31">
        <v>92</v>
      </c>
      <c r="B36" s="39">
        <v>2</v>
      </c>
      <c r="C36" s="34">
        <v>87.39</v>
      </c>
      <c r="D36" s="34">
        <v>174.78</v>
      </c>
      <c r="E36" s="35">
        <v>3.6455943332471187E-2</v>
      </c>
    </row>
    <row r="37" spans="1:5" x14ac:dyDescent="0.25">
      <c r="A37" s="32" t="s">
        <v>42</v>
      </c>
      <c r="B37" s="39">
        <v>2</v>
      </c>
      <c r="C37" s="34">
        <v>87.39</v>
      </c>
      <c r="D37" s="34">
        <v>174.78</v>
      </c>
      <c r="E37" s="35">
        <v>3.6455943332471187E-2</v>
      </c>
    </row>
    <row r="38" spans="1:5" x14ac:dyDescent="0.25">
      <c r="A38" s="31">
        <v>99</v>
      </c>
      <c r="B38" s="39">
        <v>3</v>
      </c>
      <c r="C38" s="34">
        <v>127.75</v>
      </c>
      <c r="D38" s="34">
        <v>201.04000000000002</v>
      </c>
      <c r="E38" s="35">
        <v>4.1933303853759062E-2</v>
      </c>
    </row>
    <row r="39" spans="1:5" x14ac:dyDescent="0.25">
      <c r="A39" s="32" t="s">
        <v>211</v>
      </c>
      <c r="B39" s="39">
        <v>3</v>
      </c>
      <c r="C39" s="34">
        <v>127.75</v>
      </c>
      <c r="D39" s="34">
        <v>201.04000000000002</v>
      </c>
      <c r="E39" s="35">
        <v>4.1933303853759062E-2</v>
      </c>
    </row>
    <row r="40" spans="1:5" x14ac:dyDescent="0.25">
      <c r="A40" s="31" t="s">
        <v>295</v>
      </c>
      <c r="B40" s="39">
        <v>67</v>
      </c>
      <c r="C40" s="34">
        <v>3004.4799999999996</v>
      </c>
      <c r="D40" s="34">
        <v>4794.2800000000007</v>
      </c>
      <c r="E40" s="35">
        <v>1</v>
      </c>
    </row>
  </sheetData>
  <pageMargins left="0.7" right="0.7" top="0.75" bottom="0.75" header="0.3" footer="0.3"/>
  <drawing r:id="rId3"/>
  <extLst>
    <ext xmlns:x14="http://schemas.microsoft.com/office/spreadsheetml/2009/9/main" uri="{A8765BA9-456A-4dab-B4F3-ACF838C121DE}">
      <x14:slicerList>
        <x14:slicer r:id="rId4"/>
      </x14:slicerList>
    </ext>
    <ext xmlns:x15="http://schemas.microsoft.com/office/spreadsheetml/2010/11/main" uri="{7E03D99C-DC04-49d9-9315-930204A7B6E9}">
      <x15:timelineRefs>
        <x15:timelineRef r:id="rId5"/>
      </x15:timelineRef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2D470-E780-734A-B75F-A54730EB8A82}">
  <sheetPr>
    <tabColor theme="5"/>
  </sheetPr>
  <dimension ref="A1:E37"/>
  <sheetViews>
    <sheetView workbookViewId="0">
      <selection activeCell="F3" sqref="F3"/>
    </sheetView>
  </sheetViews>
  <sheetFormatPr baseColWidth="10" defaultRowHeight="19" x14ac:dyDescent="0.25"/>
  <cols>
    <col min="1" max="1" width="13.5703125" customWidth="1"/>
    <col min="2" max="2" width="14.42578125" customWidth="1"/>
    <col min="3" max="3" width="16.5703125" customWidth="1"/>
    <col min="4" max="4" width="16.140625" customWidth="1"/>
    <col min="5" max="5" width="16.7109375" customWidth="1"/>
  </cols>
  <sheetData>
    <row r="1" spans="1:5" x14ac:dyDescent="0.25">
      <c r="A1" s="33" t="s">
        <v>297</v>
      </c>
      <c r="B1" s="10" t="s">
        <v>301</v>
      </c>
      <c r="C1" s="10" t="s">
        <v>305</v>
      </c>
    </row>
    <row r="2" spans="1:5" x14ac:dyDescent="0.25">
      <c r="A2" s="31" t="s">
        <v>296</v>
      </c>
      <c r="B2">
        <v>3</v>
      </c>
      <c r="C2" s="34">
        <v>127.75</v>
      </c>
    </row>
    <row r="3" spans="1:5" x14ac:dyDescent="0.25">
      <c r="A3" s="31" t="s">
        <v>213</v>
      </c>
      <c r="B3">
        <v>17</v>
      </c>
      <c r="C3" s="34">
        <v>211.33</v>
      </c>
    </row>
    <row r="4" spans="1:5" x14ac:dyDescent="0.25">
      <c r="A4" s="31" t="s">
        <v>207</v>
      </c>
      <c r="B4">
        <v>33</v>
      </c>
      <c r="C4" s="34">
        <v>2025.3300000000002</v>
      </c>
    </row>
    <row r="5" spans="1:5" x14ac:dyDescent="0.25">
      <c r="A5" s="31" t="s">
        <v>206</v>
      </c>
      <c r="B5">
        <v>14</v>
      </c>
      <c r="C5" s="34">
        <v>640.06999999999994</v>
      </c>
    </row>
    <row r="6" spans="1:5" x14ac:dyDescent="0.25">
      <c r="A6" s="31" t="s">
        <v>295</v>
      </c>
      <c r="B6">
        <v>67</v>
      </c>
      <c r="C6" s="34">
        <v>3004.4800000000005</v>
      </c>
    </row>
    <row r="12" spans="1:5" x14ac:dyDescent="0.25">
      <c r="A12" s="33" t="s">
        <v>304</v>
      </c>
      <c r="B12" s="10" t="s">
        <v>301</v>
      </c>
      <c r="C12" s="10" t="s">
        <v>305</v>
      </c>
      <c r="D12" s="10" t="s">
        <v>306</v>
      </c>
      <c r="E12" s="10" t="s">
        <v>307</v>
      </c>
    </row>
    <row r="13" spans="1:5" x14ac:dyDescent="0.25">
      <c r="A13" s="31">
        <v>4</v>
      </c>
      <c r="B13">
        <v>8</v>
      </c>
      <c r="C13" s="34">
        <v>740.74</v>
      </c>
      <c r="D13" s="34">
        <v>938.40000000000009</v>
      </c>
      <c r="E13" s="35">
        <v>0.19573324878813919</v>
      </c>
    </row>
    <row r="14" spans="1:5" x14ac:dyDescent="0.25">
      <c r="A14" s="32" t="s">
        <v>57</v>
      </c>
      <c r="B14">
        <v>8</v>
      </c>
      <c r="C14" s="34">
        <v>740.74</v>
      </c>
      <c r="D14" s="34">
        <v>938.40000000000009</v>
      </c>
      <c r="E14" s="35">
        <v>0.19573324878813919</v>
      </c>
    </row>
    <row r="15" spans="1:5" x14ac:dyDescent="0.25">
      <c r="A15" s="31">
        <v>23</v>
      </c>
      <c r="B15">
        <v>6</v>
      </c>
      <c r="C15" s="34">
        <v>433.66999999999996</v>
      </c>
      <c r="D15" s="34">
        <v>533.05999999999995</v>
      </c>
      <c r="E15" s="35">
        <v>0.11118666410806208</v>
      </c>
    </row>
    <row r="16" spans="1:5" x14ac:dyDescent="0.25">
      <c r="A16" s="32" t="s">
        <v>45</v>
      </c>
      <c r="B16">
        <v>6</v>
      </c>
      <c r="C16" s="34">
        <v>433.66999999999996</v>
      </c>
      <c r="D16" s="34">
        <v>533.05999999999995</v>
      </c>
      <c r="E16" s="35">
        <v>0.11118666410806208</v>
      </c>
    </row>
    <row r="17" spans="1:5" x14ac:dyDescent="0.25">
      <c r="A17" s="31">
        <v>33</v>
      </c>
      <c r="B17">
        <v>9</v>
      </c>
      <c r="C17" s="34">
        <v>494.46000000000004</v>
      </c>
      <c r="D17" s="34">
        <v>867.84</v>
      </c>
      <c r="E17" s="35">
        <v>0.1810157103882126</v>
      </c>
    </row>
    <row r="18" spans="1:5" x14ac:dyDescent="0.25">
      <c r="A18" s="32" t="s">
        <v>221</v>
      </c>
      <c r="B18">
        <v>9</v>
      </c>
      <c r="C18" s="34">
        <v>494.46000000000004</v>
      </c>
      <c r="D18" s="34">
        <v>867.84</v>
      </c>
      <c r="E18" s="35">
        <v>0.1810157103882126</v>
      </c>
    </row>
    <row r="19" spans="1:5" x14ac:dyDescent="0.25">
      <c r="A19" s="31">
        <v>51</v>
      </c>
      <c r="B19">
        <v>4</v>
      </c>
      <c r="C19" s="34">
        <v>57.68</v>
      </c>
      <c r="D19" s="34">
        <v>115.36</v>
      </c>
      <c r="E19" s="35">
        <v>2.4062007225276783E-2</v>
      </c>
    </row>
    <row r="20" spans="1:5" x14ac:dyDescent="0.25">
      <c r="A20" s="32" t="s">
        <v>217</v>
      </c>
      <c r="B20">
        <v>4</v>
      </c>
      <c r="C20" s="34">
        <v>57.68</v>
      </c>
      <c r="D20" s="34">
        <v>115.36</v>
      </c>
      <c r="E20" s="35">
        <v>2.4062007225276783E-2</v>
      </c>
    </row>
    <row r="21" spans="1:5" x14ac:dyDescent="0.25">
      <c r="A21" s="31">
        <v>52</v>
      </c>
      <c r="B21">
        <v>2</v>
      </c>
      <c r="C21" s="34">
        <v>22.68</v>
      </c>
      <c r="D21" s="34">
        <v>45.36</v>
      </c>
      <c r="E21" s="35">
        <v>9.461274685667086E-3</v>
      </c>
    </row>
    <row r="22" spans="1:5" x14ac:dyDescent="0.25">
      <c r="A22" s="32" t="s">
        <v>54</v>
      </c>
      <c r="B22">
        <v>2</v>
      </c>
      <c r="C22" s="34">
        <v>22.68</v>
      </c>
      <c r="D22" s="34">
        <v>45.36</v>
      </c>
      <c r="E22" s="35">
        <v>9.461274685667086E-3</v>
      </c>
    </row>
    <row r="23" spans="1:5" x14ac:dyDescent="0.25">
      <c r="A23" s="31">
        <v>53</v>
      </c>
      <c r="B23">
        <v>4</v>
      </c>
      <c r="C23" s="34">
        <v>302</v>
      </c>
      <c r="D23" s="34">
        <v>346</v>
      </c>
      <c r="E23" s="35">
        <v>7.2169335124356512E-2</v>
      </c>
    </row>
    <row r="24" spans="1:5" x14ac:dyDescent="0.25">
      <c r="A24" s="32" t="s">
        <v>39</v>
      </c>
      <c r="B24">
        <v>4</v>
      </c>
      <c r="C24" s="34">
        <v>302</v>
      </c>
      <c r="D24" s="34">
        <v>346</v>
      </c>
      <c r="E24" s="35">
        <v>7.2169335124356512E-2</v>
      </c>
    </row>
    <row r="25" spans="1:5" x14ac:dyDescent="0.25">
      <c r="A25" s="31">
        <v>55</v>
      </c>
      <c r="B25">
        <v>11</v>
      </c>
      <c r="C25" s="34">
        <v>130.97</v>
      </c>
      <c r="D25" s="34">
        <v>488.88</v>
      </c>
      <c r="E25" s="35">
        <v>0.10197151605663414</v>
      </c>
    </row>
    <row r="26" spans="1:5" x14ac:dyDescent="0.25">
      <c r="A26" s="32" t="s">
        <v>51</v>
      </c>
      <c r="B26">
        <v>11</v>
      </c>
      <c r="C26" s="34">
        <v>130.97</v>
      </c>
      <c r="D26" s="34">
        <v>488.88</v>
      </c>
      <c r="E26" s="35">
        <v>0.10197151605663414</v>
      </c>
    </row>
    <row r="27" spans="1:5" x14ac:dyDescent="0.25">
      <c r="A27" s="31">
        <v>59</v>
      </c>
      <c r="B27">
        <v>11</v>
      </c>
      <c r="C27" s="34">
        <v>392.68</v>
      </c>
      <c r="D27" s="34">
        <v>596.79999999999995</v>
      </c>
      <c r="E27" s="35">
        <v>0.12448167399484383</v>
      </c>
    </row>
    <row r="28" spans="1:5" x14ac:dyDescent="0.25">
      <c r="A28" s="32" t="s">
        <v>60</v>
      </c>
      <c r="B28">
        <v>11</v>
      </c>
      <c r="C28" s="34">
        <v>392.68</v>
      </c>
      <c r="D28" s="34">
        <v>596.79999999999995</v>
      </c>
      <c r="E28" s="35">
        <v>0.12448167399484383</v>
      </c>
    </row>
    <row r="29" spans="1:5" x14ac:dyDescent="0.25">
      <c r="A29" s="31">
        <v>64</v>
      </c>
      <c r="B29">
        <v>6</v>
      </c>
      <c r="C29" s="34">
        <v>54.46</v>
      </c>
      <c r="D29" s="34">
        <v>326.76</v>
      </c>
      <c r="E29" s="35">
        <v>6.8156219494898071E-2</v>
      </c>
    </row>
    <row r="30" spans="1:5" x14ac:dyDescent="0.25">
      <c r="A30" s="32" t="s">
        <v>48</v>
      </c>
      <c r="B30">
        <v>6</v>
      </c>
      <c r="C30" s="34">
        <v>54.46</v>
      </c>
      <c r="D30" s="34">
        <v>326.76</v>
      </c>
      <c r="E30" s="35">
        <v>6.8156219494898071E-2</v>
      </c>
    </row>
    <row r="31" spans="1:5" x14ac:dyDescent="0.25">
      <c r="A31" s="31">
        <v>89</v>
      </c>
      <c r="B31">
        <v>1</v>
      </c>
      <c r="C31" s="34">
        <v>160</v>
      </c>
      <c r="D31" s="34">
        <v>160</v>
      </c>
      <c r="E31" s="35">
        <v>3.3373102947679312E-2</v>
      </c>
    </row>
    <row r="32" spans="1:5" x14ac:dyDescent="0.25">
      <c r="A32" s="32" t="s">
        <v>36</v>
      </c>
      <c r="B32">
        <v>1</v>
      </c>
      <c r="C32" s="34">
        <v>160</v>
      </c>
      <c r="D32" s="34">
        <v>160</v>
      </c>
      <c r="E32" s="35">
        <v>3.3373102947679312E-2</v>
      </c>
    </row>
    <row r="33" spans="1:5" x14ac:dyDescent="0.25">
      <c r="A33" s="31">
        <v>92</v>
      </c>
      <c r="B33">
        <v>2</v>
      </c>
      <c r="C33" s="34">
        <v>87.39</v>
      </c>
      <c r="D33" s="34">
        <v>174.78</v>
      </c>
      <c r="E33" s="35">
        <v>3.6455943332471187E-2</v>
      </c>
    </row>
    <row r="34" spans="1:5" x14ac:dyDescent="0.25">
      <c r="A34" s="32" t="s">
        <v>42</v>
      </c>
      <c r="B34">
        <v>2</v>
      </c>
      <c r="C34" s="34">
        <v>87.39</v>
      </c>
      <c r="D34" s="34">
        <v>174.78</v>
      </c>
      <c r="E34" s="35">
        <v>3.6455943332471187E-2</v>
      </c>
    </row>
    <row r="35" spans="1:5" x14ac:dyDescent="0.25">
      <c r="A35" s="31">
        <v>99</v>
      </c>
      <c r="B35">
        <v>3</v>
      </c>
      <c r="C35" s="34">
        <v>127.75</v>
      </c>
      <c r="D35" s="34">
        <v>201.04000000000002</v>
      </c>
      <c r="E35" s="35">
        <v>4.1933303853759062E-2</v>
      </c>
    </row>
    <row r="36" spans="1:5" x14ac:dyDescent="0.25">
      <c r="A36" s="32" t="s">
        <v>211</v>
      </c>
      <c r="B36">
        <v>3</v>
      </c>
      <c r="C36" s="34">
        <v>127.75</v>
      </c>
      <c r="D36" s="34">
        <v>201.04000000000002</v>
      </c>
      <c r="E36" s="35">
        <v>4.1933303853759062E-2</v>
      </c>
    </row>
    <row r="37" spans="1:5" x14ac:dyDescent="0.25">
      <c r="A37" s="31" t="s">
        <v>295</v>
      </c>
      <c r="B37">
        <v>67</v>
      </c>
      <c r="C37" s="34">
        <v>3004.4799999999996</v>
      </c>
      <c r="D37" s="34">
        <v>4794.2800000000007</v>
      </c>
      <c r="E37" s="35">
        <v>1</v>
      </c>
    </row>
  </sheetData>
  <pageMargins left="0.7" right="0.7" top="0.75" bottom="0.75" header="0.3" footer="0.3"/>
  <drawing r:id="rId3"/>
  <extLst>
    <ext xmlns:x14="http://schemas.microsoft.com/office/spreadsheetml/2009/9/main" uri="{A8765BA9-456A-4dab-B4F3-ACF838C121DE}">
      <x14:slicerList>
        <x14:slicer r:id="rId4"/>
      </x14:slicerList>
    </ext>
    <ext xmlns:x15="http://schemas.microsoft.com/office/spreadsheetml/2010/11/main" uri="{7E03D99C-DC04-49d9-9315-930204A7B6E9}">
      <x15:timelineRefs>
        <x15:timelineRef r:id="rId5"/>
      </x15:timelineRef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AC450-FB7A-B448-B1A5-92B4CBD8EFDE}">
  <dimension ref="A1:T31"/>
  <sheetViews>
    <sheetView workbookViewId="0">
      <selection activeCell="B5" sqref="B5"/>
    </sheetView>
  </sheetViews>
  <sheetFormatPr baseColWidth="10" defaultRowHeight="19" x14ac:dyDescent="0.25"/>
  <cols>
    <col min="1" max="1" width="14.28515625" customWidth="1"/>
    <col min="4" max="4" width="13.28515625" customWidth="1"/>
    <col min="5" max="5" width="16.28515625" customWidth="1"/>
    <col min="6" max="6" width="11.7109375" style="13" customWidth="1"/>
    <col min="11" max="11" width="13.28515625" customWidth="1"/>
    <col min="15" max="15" width="12.140625" customWidth="1"/>
    <col min="16" max="16" width="12.7109375" customWidth="1"/>
  </cols>
  <sheetData>
    <row r="1" spans="1:20" x14ac:dyDescent="0.25">
      <c r="A1" s="2" t="s">
        <v>7</v>
      </c>
      <c r="B1" s="1">
        <v>0.19900000000000001</v>
      </c>
    </row>
    <row r="2" spans="1:20" x14ac:dyDescent="0.25">
      <c r="E2" s="19" t="s">
        <v>303</v>
      </c>
    </row>
    <row r="5" spans="1:20" x14ac:dyDescent="0.25">
      <c r="A5" s="2" t="s">
        <v>0</v>
      </c>
      <c r="B5" s="2" t="s">
        <v>1</v>
      </c>
      <c r="C5" s="2" t="s">
        <v>9</v>
      </c>
      <c r="D5" s="2" t="s">
        <v>2</v>
      </c>
      <c r="E5" s="2" t="s">
        <v>3</v>
      </c>
      <c r="F5" s="14" t="s">
        <v>4</v>
      </c>
      <c r="G5" s="2" t="s">
        <v>5</v>
      </c>
      <c r="H5" s="2" t="s">
        <v>6</v>
      </c>
      <c r="I5" s="2" t="s">
        <v>8</v>
      </c>
      <c r="J5" s="2" t="s">
        <v>274</v>
      </c>
      <c r="K5" s="2" t="s">
        <v>9</v>
      </c>
      <c r="L5" s="2" t="s">
        <v>83</v>
      </c>
      <c r="M5" s="2" t="s">
        <v>24</v>
      </c>
      <c r="N5" s="2" t="s">
        <v>12</v>
      </c>
      <c r="O5" s="2" t="s">
        <v>96</v>
      </c>
      <c r="P5" s="2" t="s">
        <v>97</v>
      </c>
      <c r="T5" s="19"/>
    </row>
    <row r="6" spans="1:20" x14ac:dyDescent="0.25">
      <c r="A6" t="s">
        <v>13</v>
      </c>
      <c r="B6" s="3">
        <f>VLOOKUP($A6,[1]Factures!$A:$C,2,FALSE)</f>
        <v>45475</v>
      </c>
      <c r="C6" s="3">
        <f>VLOOKUP(A6,Factures!$A:$N,3,FALSE)</f>
        <v>45496</v>
      </c>
      <c r="D6" t="s">
        <v>72</v>
      </c>
      <c r="E6" t="s">
        <v>73</v>
      </c>
      <c r="F6" s="13">
        <v>160</v>
      </c>
      <c r="G6">
        <v>1</v>
      </c>
      <c r="H6" s="15">
        <f>IF(F6&lt;J6,F6,J6) * G6</f>
        <v>160</v>
      </c>
      <c r="I6" s="15">
        <f t="shared" ref="I6:I31" si="0">H6*(1+TVAcopie)</f>
        <v>191.84</v>
      </c>
      <c r="J6" s="13">
        <f>VLOOKUP($D6,'catalogue'!$A:$C,3,FALSE)</f>
        <v>163.80000000000001</v>
      </c>
      <c r="K6" s="13">
        <f>VLOOKUP(A6,Factures!$A:$N,3,FALSE)</f>
        <v>45496</v>
      </c>
      <c r="L6" s="13" t="str" cm="1">
        <f t="array" ref="L6:N6">_xlfn.XLOOKUP($A6,Factures!$A:$A,Factures!E:G,"",0)</f>
        <v>NAUDEAU</v>
      </c>
      <c r="M6" s="13" t="str">
        <v>89300</v>
      </c>
      <c r="N6" s="13" t="str">
        <v>St Aubin sur Yonne</v>
      </c>
      <c r="O6" s="13" cm="1">
        <f t="array" ref="O6:P6">_xlfn.XLOOKUP($A6,Factures!$A:$A,Factures!M:N,"",0)</f>
        <v>89</v>
      </c>
      <c r="P6" s="13" t="str">
        <v>Toto Transport</v>
      </c>
    </row>
    <row r="7" spans="1:20" x14ac:dyDescent="0.25">
      <c r="A7" t="s">
        <v>14</v>
      </c>
      <c r="B7" s="3">
        <f>VLOOKUP($A7,[1]Factures!$A:$C,2,FALSE)</f>
        <v>45481</v>
      </c>
      <c r="C7" s="3">
        <f>VLOOKUP(A7,Factures!$A:$N,3,FALSE)</f>
        <v>45502</v>
      </c>
      <c r="D7" t="s">
        <v>69</v>
      </c>
      <c r="E7" t="s">
        <v>74</v>
      </c>
      <c r="F7" s="13">
        <v>280</v>
      </c>
      <c r="G7">
        <v>1</v>
      </c>
      <c r="H7" s="15">
        <f t="shared" ref="H7:H31" si="1">IF(F7&lt;J7,F7,J7) * G7</f>
        <v>280</v>
      </c>
      <c r="I7" s="15">
        <f t="shared" si="0"/>
        <v>335.72</v>
      </c>
      <c r="J7" s="13">
        <f>VLOOKUP($D7,'catalogue'!$A:$C,3,FALSE)</f>
        <v>282.73</v>
      </c>
      <c r="K7" s="13">
        <f>VLOOKUP(A7,Factures!$A:$N,3,FALSE)</f>
        <v>45502</v>
      </c>
      <c r="L7" s="13" t="str" cm="1">
        <f t="array" ref="L7:N7">_xlfn.XLOOKUP($A7,Factures!$A:$A,Factures!E:G,"",0)</f>
        <v>MARITTO</v>
      </c>
      <c r="M7" s="13" t="str">
        <v>53400</v>
      </c>
      <c r="N7" s="13" t="str">
        <v>St Quentin les Anges</v>
      </c>
      <c r="O7" s="13" cm="1">
        <f t="array" ref="O7:P7">_xlfn.XLOOKUP($A7,Factures!$A:$A,Factures!M:N,"",0)</f>
        <v>53</v>
      </c>
      <c r="P7" s="13" t="str">
        <v>Colissimo</v>
      </c>
    </row>
    <row r="8" spans="1:20" x14ac:dyDescent="0.25">
      <c r="A8" t="s">
        <v>14</v>
      </c>
      <c r="B8" s="3">
        <f>VLOOKUP($A8,[1]Factures!$A:$C,2,FALSE)</f>
        <v>45481</v>
      </c>
      <c r="C8" s="3">
        <f>VLOOKUP(A8,Factures!$A:$N,3,FALSE)</f>
        <v>45502</v>
      </c>
      <c r="D8" t="s">
        <v>63</v>
      </c>
      <c r="E8" t="s">
        <v>75</v>
      </c>
      <c r="F8" s="13">
        <v>22</v>
      </c>
      <c r="G8">
        <v>3</v>
      </c>
      <c r="H8" s="15">
        <f t="shared" si="1"/>
        <v>66</v>
      </c>
      <c r="I8" s="15">
        <f t="shared" si="0"/>
        <v>79.134</v>
      </c>
      <c r="J8" s="13">
        <f>VLOOKUP($D8,'catalogue'!$A:$C,3,FALSE)</f>
        <v>22.68</v>
      </c>
      <c r="K8" s="13">
        <f>VLOOKUP(A8,Factures!$A:$N,3,FALSE)</f>
        <v>45502</v>
      </c>
      <c r="L8" s="13" t="str" cm="1">
        <f t="array" ref="L8:N8">_xlfn.XLOOKUP($A8,Factures!$A:$A,Factures!E:G,"",0)</f>
        <v>MARITTO</v>
      </c>
      <c r="M8" s="13" t="str">
        <v>53400</v>
      </c>
      <c r="N8" s="13" t="str">
        <v>St Quentin les Anges</v>
      </c>
      <c r="O8" s="13" cm="1">
        <f t="array" ref="O8:P8">_xlfn.XLOOKUP($A8,Factures!$A:$A,Factures!M:N,"",0)</f>
        <v>53</v>
      </c>
      <c r="P8" s="13" t="str">
        <v>Colissimo</v>
      </c>
    </row>
    <row r="9" spans="1:20" x14ac:dyDescent="0.25">
      <c r="A9" t="s">
        <v>15</v>
      </c>
      <c r="B9" s="3">
        <f>VLOOKUP($A9,[1]Factures!$A:$C,2,FALSE)</f>
        <v>45464</v>
      </c>
      <c r="C9" s="3">
        <f>VLOOKUP(A9,Factures!$A:$N,3,FALSE)</f>
        <v>45485</v>
      </c>
      <c r="D9" t="s">
        <v>68</v>
      </c>
      <c r="E9" t="s">
        <v>73</v>
      </c>
      <c r="F9" s="13">
        <v>88</v>
      </c>
      <c r="G9">
        <v>2</v>
      </c>
      <c r="H9" s="15">
        <f t="shared" si="1"/>
        <v>174.78</v>
      </c>
      <c r="I9" s="15">
        <f t="shared" si="0"/>
        <v>209.56122000000002</v>
      </c>
      <c r="J9" s="13">
        <f>VLOOKUP($D9,'catalogue'!$A:$C,3,FALSE)</f>
        <v>87.39</v>
      </c>
      <c r="K9" s="13">
        <f>VLOOKUP(A9,Factures!$A:$N,3,FALSE)</f>
        <v>45485</v>
      </c>
      <c r="L9" s="13" t="str" cm="1">
        <f t="array" ref="L9:N9">_xlfn.XLOOKUP($A9,Factures!$A:$A,Factures!E:G,"",0)</f>
        <v>BASCHET</v>
      </c>
      <c r="M9" s="13" t="str">
        <v>92500</v>
      </c>
      <c r="N9" s="13" t="str">
        <v>Rueil Malmaison</v>
      </c>
      <c r="O9" s="13" cm="1">
        <f t="array" ref="O9:P9">_xlfn.XLOOKUP($A9,Factures!$A:$A,Factures!M:N,"",0)</f>
        <v>92</v>
      </c>
      <c r="P9" s="13" t="str">
        <v>Toto Transport</v>
      </c>
    </row>
    <row r="10" spans="1:20" x14ac:dyDescent="0.25">
      <c r="A10" t="s">
        <v>16</v>
      </c>
      <c r="B10" s="3">
        <f>VLOOKUP($A10,[1]Factures!$A:$C,2,FALSE)</f>
        <v>45526</v>
      </c>
      <c r="C10" s="3">
        <f>VLOOKUP(A10,Factures!$A:$N,3,FALSE)</f>
        <v>45547</v>
      </c>
      <c r="D10" t="s">
        <v>62</v>
      </c>
      <c r="E10" t="s">
        <v>76</v>
      </c>
      <c r="F10" s="13">
        <v>12</v>
      </c>
      <c r="G10">
        <v>2</v>
      </c>
      <c r="H10" s="15">
        <f t="shared" si="1"/>
        <v>24</v>
      </c>
      <c r="I10" s="15">
        <f t="shared" si="0"/>
        <v>28.776000000000003</v>
      </c>
      <c r="J10" s="13">
        <f>VLOOKUP($D10,'catalogue'!$A:$C,3,FALSE)</f>
        <v>12.16</v>
      </c>
      <c r="K10" s="13">
        <f>VLOOKUP(A10,Factures!$A:$N,3,FALSE)</f>
        <v>45547</v>
      </c>
      <c r="L10" s="13" t="str" cm="1">
        <f t="array" ref="L10:N10">_xlfn.XLOOKUP($A10,Factures!$A:$A,Factures!E:G,"",0)</f>
        <v>GRASSET</v>
      </c>
      <c r="M10" s="13" t="str">
        <v>23400</v>
      </c>
      <c r="N10" s="13" t="str">
        <v>Auriat</v>
      </c>
      <c r="O10" s="13" cm="1">
        <f t="array" ref="O10:P10">_xlfn.XLOOKUP($A10,Factures!$A:$A,Factures!M:N,"",0)</f>
        <v>23</v>
      </c>
      <c r="P10" s="13" t="str">
        <v>Colissimo</v>
      </c>
    </row>
    <row r="11" spans="1:20" x14ac:dyDescent="0.25">
      <c r="A11" t="s">
        <v>16</v>
      </c>
      <c r="B11" s="3">
        <f>VLOOKUP($A11,[1]Factures!$A:$C,2,FALSE)</f>
        <v>45526</v>
      </c>
      <c r="C11" s="3">
        <f>VLOOKUP(A11,Factures!$A:$N,3,FALSE)</f>
        <v>45547</v>
      </c>
      <c r="D11" t="s">
        <v>70</v>
      </c>
      <c r="E11" t="s">
        <v>77</v>
      </c>
      <c r="F11" s="13">
        <v>300</v>
      </c>
      <c r="G11">
        <v>1</v>
      </c>
      <c r="H11" s="15">
        <f t="shared" si="1"/>
        <v>300</v>
      </c>
      <c r="I11" s="15">
        <f t="shared" si="0"/>
        <v>359.70000000000005</v>
      </c>
      <c r="J11" s="13">
        <f>VLOOKUP($D11,'catalogue'!$A:$C,3,FALSE)</f>
        <v>398.32</v>
      </c>
      <c r="K11" s="13">
        <f>VLOOKUP(A11,Factures!$A:$N,3,FALSE)</f>
        <v>45547</v>
      </c>
      <c r="L11" s="13" t="str" cm="1">
        <f t="array" ref="L11:N11">_xlfn.XLOOKUP($A11,Factures!$A:$A,Factures!E:G,"",0)</f>
        <v>GRASSET</v>
      </c>
      <c r="M11" s="13" t="str">
        <v>23400</v>
      </c>
      <c r="N11" s="13" t="str">
        <v>Auriat</v>
      </c>
      <c r="O11" s="13" cm="1">
        <f t="array" ref="O11:P11">_xlfn.XLOOKUP($A11,Factures!$A:$A,Factures!M:N,"",0)</f>
        <v>23</v>
      </c>
      <c r="P11" s="13" t="str">
        <v>Colissimo</v>
      </c>
    </row>
    <row r="12" spans="1:20" x14ac:dyDescent="0.25">
      <c r="A12" t="s">
        <v>16</v>
      </c>
      <c r="B12" s="3">
        <f>VLOOKUP($A12,[1]Factures!$A:$C,2,FALSE)</f>
        <v>45526</v>
      </c>
      <c r="C12" s="3">
        <f>VLOOKUP(A12,Factures!$A:$N,3,FALSE)</f>
        <v>45547</v>
      </c>
      <c r="D12" t="s">
        <v>64</v>
      </c>
      <c r="E12" t="s">
        <v>78</v>
      </c>
      <c r="F12" s="13">
        <v>35</v>
      </c>
      <c r="G12">
        <v>1</v>
      </c>
      <c r="H12" s="15">
        <f t="shared" si="1"/>
        <v>34.28</v>
      </c>
      <c r="I12" s="15">
        <f t="shared" si="0"/>
        <v>41.10172</v>
      </c>
      <c r="J12" s="13">
        <f>VLOOKUP($D12,'catalogue'!$A:$C,3,FALSE)</f>
        <v>34.28</v>
      </c>
      <c r="K12" s="13">
        <f>VLOOKUP(A12,Factures!$A:$N,3,FALSE)</f>
        <v>45547</v>
      </c>
      <c r="L12" s="13" t="str" cm="1">
        <f t="array" ref="L12:N12">_xlfn.XLOOKUP($A12,Factures!$A:$A,Factures!E:G,"",0)</f>
        <v>GRASSET</v>
      </c>
      <c r="M12" s="13" t="str">
        <v>23400</v>
      </c>
      <c r="N12" s="13" t="str">
        <v>Auriat</v>
      </c>
      <c r="O12" s="13" cm="1">
        <f t="array" ref="O12:P12">_xlfn.XLOOKUP($A12,Factures!$A:$A,Factures!M:N,"",0)</f>
        <v>23</v>
      </c>
      <c r="P12" s="13" t="str">
        <v>Colissimo</v>
      </c>
    </row>
    <row r="13" spans="1:20" x14ac:dyDescent="0.25">
      <c r="A13" t="s">
        <v>16</v>
      </c>
      <c r="B13" s="3">
        <f>VLOOKUP($A13,[1]Factures!$A:$C,2,FALSE)</f>
        <v>45526</v>
      </c>
      <c r="C13" s="3">
        <f>VLOOKUP(A13,Factures!$A:$N,3,FALSE)</f>
        <v>45547</v>
      </c>
      <c r="D13" t="s">
        <v>68</v>
      </c>
      <c r="E13" t="s">
        <v>79</v>
      </c>
      <c r="F13" s="13">
        <v>88</v>
      </c>
      <c r="G13">
        <v>2</v>
      </c>
      <c r="H13" s="15">
        <f t="shared" si="1"/>
        <v>174.78</v>
      </c>
      <c r="I13" s="15">
        <f t="shared" si="0"/>
        <v>209.56122000000002</v>
      </c>
      <c r="J13" s="13">
        <f>VLOOKUP($D13,'catalogue'!$A:$C,3,FALSE)</f>
        <v>87.39</v>
      </c>
      <c r="K13" s="13">
        <f>VLOOKUP(A13,Factures!$A:$N,3,FALSE)</f>
        <v>45547</v>
      </c>
      <c r="L13" s="13" t="str" cm="1">
        <f t="array" ref="L13:N13">_xlfn.XLOOKUP($A13,Factures!$A:$A,Factures!E:G,"",0)</f>
        <v>GRASSET</v>
      </c>
      <c r="M13" s="13" t="str">
        <v>23400</v>
      </c>
      <c r="N13" s="13" t="str">
        <v>Auriat</v>
      </c>
      <c r="O13" s="13" cm="1">
        <f t="array" ref="O13:P13">_xlfn.XLOOKUP($A13,Factures!$A:$A,Factures!M:N,"",0)</f>
        <v>23</v>
      </c>
      <c r="P13" s="13" t="str">
        <v>Colissimo</v>
      </c>
    </row>
    <row r="14" spans="1:20" x14ac:dyDescent="0.25">
      <c r="A14" t="s">
        <v>17</v>
      </c>
      <c r="B14" s="3">
        <f>VLOOKUP($A14,[1]Factures!$A:$C,2,FALSE)</f>
        <v>45465</v>
      </c>
      <c r="C14" s="3">
        <f>VLOOKUP(A14,Factures!$A:$N,3,FALSE)</f>
        <v>45485</v>
      </c>
      <c r="D14" t="s">
        <v>63</v>
      </c>
      <c r="E14" t="s">
        <v>75</v>
      </c>
      <c r="F14" s="13">
        <v>23</v>
      </c>
      <c r="G14">
        <v>10</v>
      </c>
      <c r="H14" s="15">
        <f t="shared" si="1"/>
        <v>226.8</v>
      </c>
      <c r="I14" s="15">
        <f t="shared" si="0"/>
        <v>271.93320000000006</v>
      </c>
      <c r="J14" s="13">
        <f>VLOOKUP($D14,'catalogue'!$A:$C,3,FALSE)</f>
        <v>22.68</v>
      </c>
      <c r="K14" s="13">
        <f>VLOOKUP(A14,Factures!$A:$N,3,FALSE)</f>
        <v>45485</v>
      </c>
      <c r="L14" s="13" t="str" cm="1">
        <f t="array" ref="L14:N14">_xlfn.XLOOKUP($A14,Factures!$A:$A,Factures!E:G,"",0)</f>
        <v>MINELLI</v>
      </c>
      <c r="M14" s="13" t="str">
        <v>59700</v>
      </c>
      <c r="N14" s="13" t="str">
        <v>Marq-en-Bareouil</v>
      </c>
      <c r="O14" s="13" cm="1">
        <f t="array" ref="O14:P14">_xlfn.XLOOKUP($A14,Factures!$A:$A,Factures!M:N,"",0)</f>
        <v>59</v>
      </c>
      <c r="P14" s="13" t="str">
        <v>Toto Transport</v>
      </c>
    </row>
    <row r="15" spans="1:20" x14ac:dyDescent="0.25">
      <c r="A15" t="s">
        <v>18</v>
      </c>
      <c r="B15" s="3">
        <f>VLOOKUP($A15,[1]Factures!$A:$C,2,FALSE)</f>
        <v>45515</v>
      </c>
      <c r="C15" s="3">
        <f>VLOOKUP(A15,Factures!$A:$N,3,FALSE)</f>
        <v>45537</v>
      </c>
      <c r="D15" t="s">
        <v>67</v>
      </c>
      <c r="E15" t="s">
        <v>80</v>
      </c>
      <c r="F15" s="13">
        <v>54.5</v>
      </c>
      <c r="G15">
        <v>6</v>
      </c>
      <c r="H15" s="15">
        <f t="shared" si="1"/>
        <v>326.76</v>
      </c>
      <c r="I15" s="15">
        <f t="shared" si="0"/>
        <v>391.78523999999999</v>
      </c>
      <c r="J15" s="13">
        <f>VLOOKUP($D15,'catalogue'!$A:$C,3,FALSE)</f>
        <v>54.46</v>
      </c>
      <c r="K15" s="13">
        <f>VLOOKUP(A15,Factures!$A:$N,3,FALSE)</f>
        <v>45537</v>
      </c>
      <c r="L15" s="13" t="str" cm="1">
        <f t="array" ref="L15:N15">_xlfn.XLOOKUP($A15,Factures!$A:$A,Factures!E:G,"",0)</f>
        <v>GALOTTI</v>
      </c>
      <c r="M15" s="13" t="str">
        <v>64410</v>
      </c>
      <c r="N15" s="13" t="str">
        <v>Arget</v>
      </c>
      <c r="O15" s="13" cm="1">
        <f t="array" ref="O15:P15">_xlfn.XLOOKUP($A15,Factures!$A:$A,Factures!M:N,"",0)</f>
        <v>64</v>
      </c>
      <c r="P15" s="13" t="str">
        <v>Colissimo</v>
      </c>
    </row>
    <row r="16" spans="1:20" x14ac:dyDescent="0.25">
      <c r="A16" t="s">
        <v>19</v>
      </c>
      <c r="B16" s="3">
        <f>VLOOKUP($A16,[1]Factures!$A:$C,2,FALSE)</f>
        <v>45498</v>
      </c>
      <c r="C16" s="3">
        <f>VLOOKUP(A16,Factures!$A:$N,3,FALSE)</f>
        <v>45520</v>
      </c>
      <c r="D16" t="s">
        <v>63</v>
      </c>
      <c r="E16" t="s">
        <v>75</v>
      </c>
      <c r="F16" s="13">
        <v>23</v>
      </c>
      <c r="G16">
        <v>4</v>
      </c>
      <c r="H16" s="15">
        <f t="shared" si="1"/>
        <v>90.72</v>
      </c>
      <c r="I16" s="15">
        <f t="shared" si="0"/>
        <v>108.77328</v>
      </c>
      <c r="J16" s="13">
        <f>VLOOKUP($D16,'catalogue'!$A:$C,3,FALSE)</f>
        <v>22.68</v>
      </c>
      <c r="K16" s="13">
        <f>VLOOKUP(A16,Factures!$A:$N,3,FALSE)</f>
        <v>45520</v>
      </c>
      <c r="L16" s="13" t="str" cm="1">
        <f t="array" ref="L16:N16">_xlfn.XLOOKUP($A16,Factures!$A:$A,Factures!E:G,"",0)</f>
        <v>DANO</v>
      </c>
      <c r="M16" s="13" t="str">
        <v>55400</v>
      </c>
      <c r="N16" s="13" t="str">
        <v>Braquis</v>
      </c>
      <c r="O16" s="13" cm="1">
        <f t="array" ref="O16:P16">_xlfn.XLOOKUP($A16,Factures!$A:$A,Factures!M:N,"",0)</f>
        <v>55</v>
      </c>
      <c r="P16" s="13" t="str">
        <v>Camion propre</v>
      </c>
    </row>
    <row r="17" spans="1:16" x14ac:dyDescent="0.25">
      <c r="A17" t="s">
        <v>19</v>
      </c>
      <c r="B17" s="3">
        <f>VLOOKUP($A17,[1]Factures!$A:$C,2,FALSE)</f>
        <v>45498</v>
      </c>
      <c r="C17" s="3">
        <f>VLOOKUP(A17,Factures!$A:$N,3,FALSE)</f>
        <v>45520</v>
      </c>
      <c r="D17" t="s">
        <v>66</v>
      </c>
      <c r="E17" t="s">
        <v>81</v>
      </c>
      <c r="F17" s="13">
        <v>74</v>
      </c>
      <c r="G17">
        <v>4</v>
      </c>
      <c r="H17" s="15">
        <f t="shared" si="1"/>
        <v>293.16000000000003</v>
      </c>
      <c r="I17" s="15">
        <f t="shared" si="0"/>
        <v>351.49884000000003</v>
      </c>
      <c r="J17" s="13">
        <f>VLOOKUP($D17,'catalogue'!$A:$C,3,FALSE)</f>
        <v>73.290000000000006</v>
      </c>
      <c r="K17" s="13">
        <f>VLOOKUP(A17,Factures!$A:$N,3,FALSE)</f>
        <v>45520</v>
      </c>
      <c r="L17" s="13" t="str" cm="1">
        <f t="array" ref="L17:N17">_xlfn.XLOOKUP($A17,Factures!$A:$A,Factures!E:G,"",0)</f>
        <v>DANO</v>
      </c>
      <c r="M17" s="13" t="str">
        <v>55400</v>
      </c>
      <c r="N17" s="13" t="str">
        <v>Braquis</v>
      </c>
      <c r="O17" s="13" cm="1">
        <f t="array" ref="O17:P17">_xlfn.XLOOKUP($A17,Factures!$A:$A,Factures!M:N,"",0)</f>
        <v>55</v>
      </c>
      <c r="P17" s="13" t="str">
        <v>Camion propre</v>
      </c>
    </row>
    <row r="18" spans="1:16" x14ac:dyDescent="0.25">
      <c r="A18" t="s">
        <v>19</v>
      </c>
      <c r="B18" s="3">
        <f>VLOOKUP($A18,[1]Factures!$A:$C,2,FALSE)</f>
        <v>45498</v>
      </c>
      <c r="C18" s="3">
        <f>VLOOKUP(A18,Factures!$A:$N,3,FALSE)</f>
        <v>45520</v>
      </c>
      <c r="D18" t="s">
        <v>65</v>
      </c>
      <c r="E18" t="s">
        <v>78</v>
      </c>
      <c r="F18" s="13">
        <v>35</v>
      </c>
      <c r="G18">
        <v>3</v>
      </c>
      <c r="H18" s="15">
        <f t="shared" si="1"/>
        <v>105</v>
      </c>
      <c r="I18" s="15">
        <f t="shared" si="0"/>
        <v>125.89500000000001</v>
      </c>
      <c r="J18" s="13">
        <f>VLOOKUP($D18,'catalogue'!$A:$C,3,FALSE)</f>
        <v>95.51</v>
      </c>
      <c r="K18" s="13">
        <f>VLOOKUP(A18,Factures!$A:$N,3,FALSE)</f>
        <v>45520</v>
      </c>
      <c r="L18" s="13" t="str" cm="1">
        <f t="array" ref="L18:N18">_xlfn.XLOOKUP($A18,Factures!$A:$A,Factures!E:G,"",0)</f>
        <v>DANO</v>
      </c>
      <c r="M18" s="13" t="str">
        <v>55400</v>
      </c>
      <c r="N18" s="13" t="str">
        <v>Braquis</v>
      </c>
      <c r="O18" s="13" cm="1">
        <f t="array" ref="O18:P18">_xlfn.XLOOKUP($A18,Factures!$A:$A,Factures!M:N,"",0)</f>
        <v>55</v>
      </c>
      <c r="P18" s="13" t="str">
        <v>Camion propre</v>
      </c>
    </row>
    <row r="19" spans="1:16" x14ac:dyDescent="0.25">
      <c r="A19" t="s">
        <v>20</v>
      </c>
      <c r="B19" s="3">
        <f>VLOOKUP($A19,[1]Factures!$A:$C,2,FALSE)</f>
        <v>45515</v>
      </c>
      <c r="C19" s="3">
        <f>VLOOKUP(A19,Factures!$A:$N,3,FALSE)</f>
        <v>45537</v>
      </c>
      <c r="D19" t="s">
        <v>63</v>
      </c>
      <c r="E19" t="s">
        <v>75</v>
      </c>
      <c r="F19" s="13">
        <v>23</v>
      </c>
      <c r="G19">
        <v>2</v>
      </c>
      <c r="H19" s="15">
        <f t="shared" si="1"/>
        <v>45.36</v>
      </c>
      <c r="I19" s="15">
        <f t="shared" si="0"/>
        <v>54.38664</v>
      </c>
      <c r="J19" s="13">
        <f>VLOOKUP($D19,'catalogue'!$A:$C,3,FALSE)</f>
        <v>22.68</v>
      </c>
      <c r="K19" s="13">
        <f>VLOOKUP(A19,Factures!$A:$N,3,FALSE)</f>
        <v>45537</v>
      </c>
      <c r="L19" s="13" t="str" cm="1">
        <f t="array" ref="L19:N19">_xlfn.XLOOKUP($A19,Factures!$A:$A,Factures!E:G,"",0)</f>
        <v>GLORI</v>
      </c>
      <c r="M19" s="13" t="str">
        <v>52400</v>
      </c>
      <c r="N19" s="13" t="str">
        <v>Aigremont</v>
      </c>
      <c r="O19" s="13" cm="1">
        <f t="array" ref="O19:P19">_xlfn.XLOOKUP($A19,Factures!$A:$A,Factures!M:N,"",0)</f>
        <v>52</v>
      </c>
      <c r="P19" s="13" t="str">
        <v>Camion propre</v>
      </c>
    </row>
    <row r="20" spans="1:16" x14ac:dyDescent="0.25">
      <c r="A20" t="s">
        <v>21</v>
      </c>
      <c r="B20" s="3">
        <f>VLOOKUP($A20,[1]Factures!$A:$C,2,FALSE)</f>
        <v>45527</v>
      </c>
      <c r="C20" s="3">
        <f>VLOOKUP(A20,Factures!$A:$N,3,FALSE)</f>
        <v>45548</v>
      </c>
      <c r="D20" t="s">
        <v>71</v>
      </c>
      <c r="E20" t="s">
        <v>82</v>
      </c>
      <c r="F20" s="13">
        <v>370</v>
      </c>
      <c r="G20">
        <v>1</v>
      </c>
      <c r="H20" s="15">
        <f t="shared" si="1"/>
        <v>370</v>
      </c>
      <c r="I20" s="15">
        <f t="shared" si="0"/>
        <v>443.63000000000005</v>
      </c>
      <c r="J20" s="13">
        <f>VLOOKUP($D20,'catalogue'!$A:$C,3,FALSE)</f>
        <v>370.57</v>
      </c>
      <c r="K20" s="13">
        <f>VLOOKUP(A20,Factures!$A:$N,3,FALSE)</f>
        <v>45548</v>
      </c>
      <c r="L20" s="13" t="str" cm="1">
        <f t="array" ref="L20:N20">_xlfn.XLOOKUP($A20,Factures!$A:$A,Factures!E:G,"",0)</f>
        <v>BASCHET</v>
      </c>
      <c r="M20" s="13" t="str">
        <v>04210</v>
      </c>
      <c r="N20" s="13" t="str">
        <v>Brunet</v>
      </c>
      <c r="O20" s="13" cm="1">
        <f t="array" ref="O20:P20">_xlfn.XLOOKUP($A20,Factures!$A:$A,Factures!M:N,"",0)</f>
        <v>4</v>
      </c>
      <c r="P20" s="13" t="str">
        <v>Colissimo</v>
      </c>
    </row>
    <row r="21" spans="1:16" x14ac:dyDescent="0.25">
      <c r="A21" t="s">
        <v>21</v>
      </c>
      <c r="B21" s="3">
        <f>VLOOKUP($A21,[1]Factures!$A:$C,2,FALSE)</f>
        <v>45527</v>
      </c>
      <c r="C21" s="3">
        <f>VLOOKUP(A21,Factures!$A:$N,3,FALSE)</f>
        <v>45548</v>
      </c>
      <c r="D21" t="s">
        <v>67</v>
      </c>
      <c r="E21" t="s">
        <v>80</v>
      </c>
      <c r="F21" s="13">
        <v>54.5</v>
      </c>
      <c r="G21">
        <v>4</v>
      </c>
      <c r="H21" s="15">
        <f t="shared" si="1"/>
        <v>217.84</v>
      </c>
      <c r="I21" s="15">
        <f t="shared" si="0"/>
        <v>261.19015999999999</v>
      </c>
      <c r="J21" s="13">
        <f>VLOOKUP($D21,'catalogue'!$A:$C,3,FALSE)</f>
        <v>54.46</v>
      </c>
      <c r="K21" s="13">
        <f>VLOOKUP(A21,Factures!$A:$N,3,FALSE)</f>
        <v>45548</v>
      </c>
      <c r="L21" s="13" t="str" cm="1">
        <f t="array" ref="L21:N21">_xlfn.XLOOKUP($A21,Factures!$A:$A,Factures!E:G,"",0)</f>
        <v>BASCHET</v>
      </c>
      <c r="M21" s="13" t="str">
        <v>04210</v>
      </c>
      <c r="N21" s="13" t="str">
        <v>Brunet</v>
      </c>
      <c r="O21" s="13" cm="1">
        <f t="array" ref="O21:P21">_xlfn.XLOOKUP($A21,Factures!$A:$A,Factures!M:N,"",0)</f>
        <v>4</v>
      </c>
      <c r="P21" s="13" t="str">
        <v>Colissimo</v>
      </c>
    </row>
    <row r="22" spans="1:16" x14ac:dyDescent="0.25">
      <c r="A22" t="s">
        <v>21</v>
      </c>
      <c r="B22" s="3">
        <f>VLOOKUP($A22,[1]Factures!$A:$C,2,FALSE)</f>
        <v>45527</v>
      </c>
      <c r="C22" s="3">
        <f>VLOOKUP(A22,Factures!$A:$N,3,FALSE)</f>
        <v>45548</v>
      </c>
      <c r="D22" t="s">
        <v>69</v>
      </c>
      <c r="E22" t="s">
        <v>74</v>
      </c>
      <c r="F22" s="13">
        <v>282</v>
      </c>
      <c r="G22">
        <v>1</v>
      </c>
      <c r="H22" s="15">
        <f t="shared" si="1"/>
        <v>282</v>
      </c>
      <c r="I22" s="15">
        <f t="shared" si="0"/>
        <v>338.11799999999999</v>
      </c>
      <c r="J22" s="13">
        <f>VLOOKUP($D22,'catalogue'!$A:$C,3,FALSE)</f>
        <v>282.73</v>
      </c>
      <c r="K22" s="13">
        <f>VLOOKUP(A22,Factures!$A:$N,3,FALSE)</f>
        <v>45548</v>
      </c>
      <c r="L22" s="13" t="str" cm="1">
        <f t="array" ref="L22:N22">_xlfn.XLOOKUP($A22,Factures!$A:$A,Factures!E:G,"",0)</f>
        <v>BASCHET</v>
      </c>
      <c r="M22" s="13" t="str">
        <v>04210</v>
      </c>
      <c r="N22" s="13" t="str">
        <v>Brunet</v>
      </c>
      <c r="O22" s="13" cm="1">
        <f t="array" ref="O22:P22">_xlfn.XLOOKUP($A22,Factures!$A:$A,Factures!M:N,"",0)</f>
        <v>4</v>
      </c>
      <c r="P22" s="13" t="str">
        <v>Colissimo</v>
      </c>
    </row>
    <row r="23" spans="1:16" x14ac:dyDescent="0.25">
      <c r="A23" t="s">
        <v>21</v>
      </c>
      <c r="B23" s="3">
        <f>VLOOKUP($A23,[1]Factures!$A:$C,2,FALSE)</f>
        <v>45527</v>
      </c>
      <c r="C23" s="3">
        <f>VLOOKUP(A23,Factures!$A:$N,3,FALSE)</f>
        <v>45548</v>
      </c>
      <c r="D23" t="s">
        <v>64</v>
      </c>
      <c r="E23" t="s">
        <v>78</v>
      </c>
      <c r="F23" s="13">
        <v>35</v>
      </c>
      <c r="G23">
        <v>2</v>
      </c>
      <c r="H23" s="15">
        <f t="shared" si="1"/>
        <v>68.56</v>
      </c>
      <c r="I23" s="15">
        <f t="shared" si="0"/>
        <v>82.203440000000001</v>
      </c>
      <c r="J23" s="13">
        <f>VLOOKUP($D23,'catalogue'!$A:$C,3,FALSE)</f>
        <v>34.28</v>
      </c>
      <c r="K23" s="13">
        <f>VLOOKUP(A23,Factures!$A:$N,3,FALSE)</f>
        <v>45548</v>
      </c>
      <c r="L23" s="13" t="str" cm="1">
        <f t="array" ref="L23:N23">_xlfn.XLOOKUP($A23,Factures!$A:$A,Factures!E:G,"",0)</f>
        <v>BASCHET</v>
      </c>
      <c r="M23" s="13" t="str">
        <v>04210</v>
      </c>
      <c r="N23" s="13" t="str">
        <v>Brunet</v>
      </c>
      <c r="O23" s="13" cm="1">
        <f t="array" ref="O23:P23">_xlfn.XLOOKUP($A23,Factures!$A:$A,Factures!M:N,"",0)</f>
        <v>4</v>
      </c>
      <c r="P23" s="13" t="str">
        <v>Colissimo</v>
      </c>
    </row>
    <row r="24" spans="1:16" x14ac:dyDescent="0.25">
      <c r="A24" t="s">
        <v>22</v>
      </c>
      <c r="B24" s="3">
        <f>VLOOKUP($A24,[1]Factures!$A:$C,2,FALSE)</f>
        <v>45495</v>
      </c>
      <c r="C24" s="3">
        <f>VLOOKUP(A24,Factures!$A:$N,3,FALSE)</f>
        <v>45516</v>
      </c>
      <c r="D24" t="s">
        <v>67</v>
      </c>
      <c r="E24" t="s">
        <v>80</v>
      </c>
      <c r="F24" s="13">
        <v>54.5</v>
      </c>
      <c r="G24">
        <v>1</v>
      </c>
      <c r="H24" s="15">
        <f t="shared" si="1"/>
        <v>54.46</v>
      </c>
      <c r="I24" s="15">
        <f t="shared" si="0"/>
        <v>65.297539999999998</v>
      </c>
      <c r="J24" s="13">
        <f>VLOOKUP($D24,'catalogue'!$A:$C,3,FALSE)</f>
        <v>54.46</v>
      </c>
      <c r="K24" s="13">
        <f>VLOOKUP(A24,Factures!$A:$N,3,FALSE)</f>
        <v>45516</v>
      </c>
      <c r="L24" s="13" t="str" cm="1">
        <f t="array" ref="L24:N24">_xlfn.XLOOKUP($A24,Factures!$A:$A,Factures!E:G,"",0)</f>
        <v>CEREJA</v>
      </c>
      <c r="M24" s="13" t="str">
        <v>99 999</v>
      </c>
      <c r="N24" s="13" t="str">
        <v>Santa Maria, BR</v>
      </c>
      <c r="O24" s="13" cm="1">
        <f t="array" ref="O24:P24">_xlfn.XLOOKUP($A24,Factures!$A:$A,Factures!M:N,"",0)</f>
        <v>99</v>
      </c>
      <c r="P24" s="13" t="str">
        <v>A DEFINIR</v>
      </c>
    </row>
    <row r="25" spans="1:16" x14ac:dyDescent="0.25">
      <c r="A25" t="s">
        <v>22</v>
      </c>
      <c r="B25" s="3">
        <f>VLOOKUP($A25,[1]Factures!$A:$C,2,FALSE)</f>
        <v>45495</v>
      </c>
      <c r="C25" s="3">
        <f>VLOOKUP(A25,Factures!$A:$N,3,FALSE)</f>
        <v>45516</v>
      </c>
      <c r="D25" t="s">
        <v>66</v>
      </c>
      <c r="E25" t="s">
        <v>81</v>
      </c>
      <c r="F25" s="13">
        <v>73.5</v>
      </c>
      <c r="G25">
        <v>2</v>
      </c>
      <c r="H25" s="15">
        <f t="shared" si="1"/>
        <v>146.58000000000001</v>
      </c>
      <c r="I25" s="15">
        <f t="shared" si="0"/>
        <v>175.74942000000001</v>
      </c>
      <c r="J25" s="13">
        <f>VLOOKUP($D25,'catalogue'!$A:$C,3,FALSE)</f>
        <v>73.290000000000006</v>
      </c>
      <c r="K25" s="13">
        <f>VLOOKUP(A25,Factures!$A:$N,3,FALSE)</f>
        <v>45516</v>
      </c>
      <c r="L25" s="13" t="str" cm="1">
        <f t="array" ref="L25:N25">_xlfn.XLOOKUP($A25,Factures!$A:$A,Factures!E:G,"",0)</f>
        <v>CEREJA</v>
      </c>
      <c r="M25" s="13" t="str">
        <v>99 999</v>
      </c>
      <c r="N25" s="13" t="str">
        <v>Santa Maria, BR</v>
      </c>
      <c r="O25" s="13" cm="1">
        <f t="array" ref="O25:P25">_xlfn.XLOOKUP($A25,Factures!$A:$A,Factures!M:N,"",0)</f>
        <v>99</v>
      </c>
      <c r="P25" s="13" t="str">
        <v>A DEFINIR</v>
      </c>
    </row>
    <row r="26" spans="1:16" x14ac:dyDescent="0.25">
      <c r="A26" t="s">
        <v>23</v>
      </c>
      <c r="B26" s="3">
        <f>VLOOKUP($A26,[1]Factures!$A:$C,2,FALSE)</f>
        <v>45536</v>
      </c>
      <c r="C26" s="3">
        <f>VLOOKUP(A26,Factures!$A:$N,3,FALSE)</f>
        <v>45555</v>
      </c>
      <c r="D26" t="s">
        <v>71</v>
      </c>
      <c r="E26" t="s">
        <v>82</v>
      </c>
      <c r="F26" s="13">
        <v>370</v>
      </c>
      <c r="G26">
        <v>1</v>
      </c>
      <c r="H26" s="15">
        <f t="shared" si="1"/>
        <v>370</v>
      </c>
      <c r="I26" s="15">
        <f t="shared" si="0"/>
        <v>443.63000000000005</v>
      </c>
      <c r="J26" s="13">
        <f>VLOOKUP($D26,'catalogue'!$A:$C,3,FALSE)</f>
        <v>370.57</v>
      </c>
      <c r="K26" s="13">
        <f>VLOOKUP(A26,Factures!$A:$N,3,FALSE)</f>
        <v>45555</v>
      </c>
      <c r="L26" s="13" t="str" cm="1">
        <f t="array" ref="L26:N26">_xlfn.XLOOKUP($A26,Factures!$A:$A,Factures!E:G,"",0)</f>
        <v>MINELLI</v>
      </c>
      <c r="M26" s="13" t="str">
        <v>59700</v>
      </c>
      <c r="N26" s="13" t="str">
        <v>Marq-en-Bareouil</v>
      </c>
      <c r="O26" s="13" cm="1">
        <f t="array" ref="O26:P26">_xlfn.XLOOKUP($A26,Factures!$A:$A,Factures!M:N,"",0)</f>
        <v>59</v>
      </c>
      <c r="P26" s="13" t="str">
        <v>Toto Transport</v>
      </c>
    </row>
    <row r="27" spans="1:16" x14ac:dyDescent="0.25">
      <c r="A27" t="s">
        <v>214</v>
      </c>
      <c r="B27" s="3">
        <f>VLOOKUP($A27,[1]Factures!$A:$C,2,FALSE)</f>
        <v>45536</v>
      </c>
      <c r="C27" s="3">
        <f>VLOOKUP(A27,Factures!$A:$N,3,FALSE)</f>
        <v>45555</v>
      </c>
      <c r="D27" t="s">
        <v>65</v>
      </c>
      <c r="E27" t="s">
        <v>78</v>
      </c>
      <c r="F27" s="13">
        <v>35</v>
      </c>
      <c r="G27">
        <v>2</v>
      </c>
      <c r="H27" s="15">
        <f t="shared" si="1"/>
        <v>70</v>
      </c>
      <c r="I27" s="15">
        <f t="shared" si="0"/>
        <v>83.93</v>
      </c>
      <c r="J27" s="13">
        <f>VLOOKUP($D27,'catalogue'!$A:$C,3,FALSE)</f>
        <v>95.51</v>
      </c>
      <c r="K27" s="13">
        <f>VLOOKUP(A27,Factures!$A:$N,3,FALSE)</f>
        <v>45555</v>
      </c>
      <c r="L27" s="13" t="str" cm="1">
        <f t="array" ref="L27:N27">_xlfn.XLOOKUP($A27,Factures!$A:$A,Factures!E:G,"",0)</f>
        <v>DE LAON</v>
      </c>
      <c r="M27" s="13">
        <v>51100</v>
      </c>
      <c r="N27" s="13" t="str">
        <v>Reims</v>
      </c>
      <c r="O27" s="13" cm="1">
        <f t="array" ref="O27:P27">_xlfn.XLOOKUP($A27,Factures!$A:$A,Factures!M:N,"",0)</f>
        <v>51</v>
      </c>
      <c r="P27" s="13" t="str">
        <v>Camion propre</v>
      </c>
    </row>
    <row r="28" spans="1:16" x14ac:dyDescent="0.25">
      <c r="A28" t="s">
        <v>215</v>
      </c>
      <c r="B28" s="3">
        <f>VLOOKUP($A28,[1]Factures!$A:$C,2,FALSE)</f>
        <v>45537</v>
      </c>
      <c r="C28" s="3">
        <f>VLOOKUP(A28,Factures!$A:$N,3,FALSE)</f>
        <v>45558</v>
      </c>
      <c r="D28" t="s">
        <v>67</v>
      </c>
      <c r="E28" t="s">
        <v>80</v>
      </c>
      <c r="F28" s="13">
        <v>55</v>
      </c>
      <c r="G28">
        <v>4</v>
      </c>
      <c r="H28" s="15">
        <f t="shared" si="1"/>
        <v>217.84</v>
      </c>
      <c r="I28" s="15">
        <f t="shared" si="0"/>
        <v>261.19015999999999</v>
      </c>
      <c r="J28" s="13">
        <f>VLOOKUP($D28,'catalogue'!$A:$C,3,FALSE)</f>
        <v>54.46</v>
      </c>
      <c r="K28" s="13">
        <f>VLOOKUP(A28,Factures!$A:$N,3,FALSE)</f>
        <v>45558</v>
      </c>
      <c r="L28" s="13" t="str" cm="1">
        <f t="array" ref="L28:N28">_xlfn.XLOOKUP($A28,Factures!$A:$A,Factures!E:G,"",0)</f>
        <v>TOVALSKI</v>
      </c>
      <c r="M28" s="13">
        <v>33025</v>
      </c>
      <c r="N28" s="13" t="str">
        <v>Bordeaux</v>
      </c>
      <c r="O28" s="13" cm="1">
        <f t="array" ref="O28:P28">_xlfn.XLOOKUP($A28,Factures!$A:$A,Factures!M:N,"",0)</f>
        <v>33</v>
      </c>
      <c r="P28" s="13" t="str">
        <v>Colissimo</v>
      </c>
    </row>
    <row r="29" spans="1:16" x14ac:dyDescent="0.25">
      <c r="A29" t="s">
        <v>215</v>
      </c>
      <c r="B29" s="3">
        <f>VLOOKUP($A29,[1]Factures!$A:$C,2,FALSE)</f>
        <v>45537</v>
      </c>
      <c r="C29" s="3">
        <f>VLOOKUP(A29,Factures!$A:$N,3,FALSE)</f>
        <v>45558</v>
      </c>
      <c r="D29" t="s">
        <v>66</v>
      </c>
      <c r="E29" t="s">
        <v>81</v>
      </c>
      <c r="F29" s="13">
        <v>70</v>
      </c>
      <c r="G29">
        <v>4</v>
      </c>
      <c r="H29" s="15">
        <f t="shared" si="1"/>
        <v>280</v>
      </c>
      <c r="I29" s="15">
        <f t="shared" si="0"/>
        <v>335.72</v>
      </c>
      <c r="J29" s="13">
        <f>VLOOKUP($D29,'catalogue'!$A:$C,3,FALSE)</f>
        <v>73.290000000000006</v>
      </c>
      <c r="K29" s="13">
        <f>VLOOKUP(A29,Factures!$A:$N,3,FALSE)</f>
        <v>45558</v>
      </c>
      <c r="L29" s="13" t="str" cm="1">
        <f t="array" ref="L29:N29">_xlfn.XLOOKUP($A29,Factures!$A:$A,Factures!E:G,"",0)</f>
        <v>TOVALSKI</v>
      </c>
      <c r="M29" s="13">
        <v>33025</v>
      </c>
      <c r="N29" s="13" t="str">
        <v>Bordeaux</v>
      </c>
      <c r="O29" s="13" cm="1">
        <f t="array" ref="O29:P29">_xlfn.XLOOKUP($A29,Factures!$A:$A,Factures!M:N,"",0)</f>
        <v>33</v>
      </c>
      <c r="P29" s="13" t="str">
        <v>Colissimo</v>
      </c>
    </row>
    <row r="30" spans="1:16" x14ac:dyDescent="0.25">
      <c r="A30" t="s">
        <v>215</v>
      </c>
      <c r="B30" s="3">
        <f>VLOOKUP($A30,[1]Factures!$A:$C,2,FALSE)</f>
        <v>45537</v>
      </c>
      <c r="C30" s="3">
        <f>VLOOKUP(A30,Factures!$A:$N,3,FALSE)</f>
        <v>45558</v>
      </c>
      <c r="D30" t="s">
        <v>71</v>
      </c>
      <c r="E30" t="s">
        <v>82</v>
      </c>
      <c r="F30" s="13">
        <v>370</v>
      </c>
      <c r="G30">
        <v>1</v>
      </c>
      <c r="H30" s="15">
        <f t="shared" si="1"/>
        <v>370</v>
      </c>
      <c r="I30" s="15">
        <f t="shared" si="0"/>
        <v>443.63000000000005</v>
      </c>
      <c r="J30" s="13">
        <f>VLOOKUP($D30,'catalogue'!$A:$C,3,FALSE)</f>
        <v>370.57</v>
      </c>
      <c r="K30" s="13">
        <f>VLOOKUP(A30,Factures!$A:$N,3,FALSE)</f>
        <v>45558</v>
      </c>
      <c r="L30" s="13" t="str" cm="1">
        <f t="array" ref="L30:N30">_xlfn.XLOOKUP($A30,Factures!$A:$A,Factures!E:G,"",0)</f>
        <v>TOVALSKI</v>
      </c>
      <c r="M30" s="13">
        <v>33025</v>
      </c>
      <c r="N30" s="13" t="str">
        <v>Bordeaux</v>
      </c>
      <c r="O30" s="13" cm="1">
        <f t="array" ref="O30:P30">_xlfn.XLOOKUP($A30,Factures!$A:$A,Factures!M:N,"",0)</f>
        <v>33</v>
      </c>
      <c r="P30" s="13" t="str">
        <v>Colissimo</v>
      </c>
    </row>
    <row r="31" spans="1:16" x14ac:dyDescent="0.25">
      <c r="A31" t="s">
        <v>214</v>
      </c>
      <c r="B31" s="3">
        <f>VLOOKUP($A31,[1]Factures!$A:$C,2,FALSE)</f>
        <v>45536</v>
      </c>
      <c r="C31" s="3">
        <f>VLOOKUP(A31,Factures!$A:$N,3,FALSE)</f>
        <v>45555</v>
      </c>
      <c r="D31" t="s">
        <v>63</v>
      </c>
      <c r="E31" t="s">
        <v>75</v>
      </c>
      <c r="F31" s="13">
        <v>25</v>
      </c>
      <c r="G31">
        <v>2</v>
      </c>
      <c r="H31" s="15">
        <f t="shared" si="1"/>
        <v>45.36</v>
      </c>
      <c r="I31" s="15">
        <f t="shared" si="0"/>
        <v>54.38664</v>
      </c>
      <c r="J31" s="13">
        <f>VLOOKUP($D31,'catalogue'!$A:$C,3,FALSE)</f>
        <v>22.68</v>
      </c>
      <c r="K31" s="13">
        <f>VLOOKUP(A31,Factures!$A:$N,3,FALSE)</f>
        <v>45555</v>
      </c>
      <c r="L31" s="13" t="str" cm="1">
        <f t="array" ref="L31:N31">_xlfn.XLOOKUP($A31,Factures!$A:$A,Factures!E:G,"",0)</f>
        <v>DE LAON</v>
      </c>
      <c r="M31" s="13">
        <v>51100</v>
      </c>
      <c r="N31" s="13" t="str">
        <v>Reims</v>
      </c>
      <c r="O31" s="13" cm="1">
        <f t="array" ref="O31:P31">_xlfn.XLOOKUP($A31,Factures!$A:$A,Factures!M:N,"",0)</f>
        <v>51</v>
      </c>
      <c r="P31" s="13" t="str">
        <v>Camion propre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E6FA4-ADFE-9749-BB4E-2208465D6CAA}">
  <dimension ref="A1:P29"/>
  <sheetViews>
    <sheetView workbookViewId="0">
      <selection activeCell="E6" sqref="E6"/>
    </sheetView>
  </sheetViews>
  <sheetFormatPr baseColWidth="10" defaultRowHeight="19" x14ac:dyDescent="0.25"/>
  <sheetData>
    <row r="1" spans="1:16" x14ac:dyDescent="0.25">
      <c r="A1" s="19" t="s">
        <v>294</v>
      </c>
      <c r="E1" s="29" t="s">
        <v>309</v>
      </c>
    </row>
    <row r="2" spans="1:16" x14ac:dyDescent="0.25">
      <c r="E2" s="30" t="s">
        <v>308</v>
      </c>
    </row>
    <row r="3" spans="1:16" x14ac:dyDescent="0.25">
      <c r="A3" t="str" cm="1">
        <f t="array" aca="1" ref="A3:P29" ca="1">OFFSET('Ventes (copie)'!$A$1,4,0,COUNTA('Ventes (copie)'!$D:$D),COUNTA('Ventes (copie)'!$5:$5))</f>
        <v>N° Facture</v>
      </c>
      <c r="B3" t="str">
        <f ca="1"/>
        <v>Date</v>
      </c>
      <c r="C3" t="str">
        <f ca="1"/>
        <v>Date Livraison</v>
      </c>
      <c r="D3" t="str">
        <f ca="1"/>
        <v>Produit</v>
      </c>
      <c r="E3" t="str">
        <f ca="1"/>
        <v>Description</v>
      </c>
      <c r="F3" t="str">
        <f ca="1"/>
        <v>Prix Unit</v>
      </c>
      <c r="G3" t="str">
        <f ca="1"/>
        <v>Quantité</v>
      </c>
      <c r="H3" t="str">
        <f ca="1"/>
        <v>Prix HT</v>
      </c>
      <c r="I3" t="str">
        <f ca="1"/>
        <v>Prix TTC</v>
      </c>
      <c r="J3" t="str">
        <f ca="1"/>
        <v>Prix Prod</v>
      </c>
      <c r="K3" t="str">
        <f ca="1"/>
        <v>Date Livraison</v>
      </c>
      <c r="L3" t="str">
        <f ca="1"/>
        <v>Nom</v>
      </c>
      <c r="M3" t="str">
        <f ca="1"/>
        <v>Code postal</v>
      </c>
      <c r="N3" t="str">
        <f ca="1"/>
        <v>ville</v>
      </c>
      <c r="O3" t="str">
        <f ca="1"/>
        <v>Department</v>
      </c>
      <c r="P3" t="str">
        <f ca="1"/>
        <v>Transp</v>
      </c>
    </row>
    <row r="4" spans="1:16" x14ac:dyDescent="0.25">
      <c r="A4" t="str">
        <f ca="1"/>
        <v>FA-2008-0001</v>
      </c>
      <c r="B4">
        <f ca="1"/>
        <v>45475</v>
      </c>
      <c r="C4">
        <f ca="1"/>
        <v>45496</v>
      </c>
      <c r="D4" t="str">
        <f ca="1"/>
        <v>P9287</v>
      </c>
      <c r="E4" t="str">
        <f ca="1"/>
        <v>Table</v>
      </c>
      <c r="F4">
        <f ca="1"/>
        <v>160</v>
      </c>
      <c r="G4">
        <f ca="1"/>
        <v>1</v>
      </c>
      <c r="H4">
        <f ca="1"/>
        <v>160</v>
      </c>
      <c r="I4">
        <f ca="1"/>
        <v>191.84</v>
      </c>
      <c r="J4">
        <f ca="1"/>
        <v>163.80000000000001</v>
      </c>
      <c r="K4">
        <f ca="1"/>
        <v>45496</v>
      </c>
      <c r="L4" t="str">
        <f ca="1"/>
        <v>NAUDEAU</v>
      </c>
      <c r="M4" t="str">
        <f ca="1"/>
        <v>89300</v>
      </c>
      <c r="N4" t="str">
        <f ca="1"/>
        <v>St Aubin sur Yonne</v>
      </c>
      <c r="O4">
        <f ca="1"/>
        <v>89</v>
      </c>
      <c r="P4" t="str">
        <f ca="1"/>
        <v>Toto Transport</v>
      </c>
    </row>
    <row r="5" spans="1:16" x14ac:dyDescent="0.25">
      <c r="A5" t="str">
        <f ca="1"/>
        <v>FA-2008-0002</v>
      </c>
      <c r="B5">
        <f ca="1"/>
        <v>45481</v>
      </c>
      <c r="C5">
        <f ca="1"/>
        <v>45502</v>
      </c>
      <c r="D5" t="str">
        <f ca="1"/>
        <v>P6953</v>
      </c>
      <c r="E5" t="str">
        <f ca="1"/>
        <v>Ensemble jardin</v>
      </c>
      <c r="F5">
        <f ca="1"/>
        <v>280</v>
      </c>
      <c r="G5">
        <f ca="1"/>
        <v>1</v>
      </c>
      <c r="H5">
        <f ca="1"/>
        <v>280</v>
      </c>
      <c r="I5">
        <f ca="1"/>
        <v>335.72</v>
      </c>
      <c r="J5">
        <f ca="1"/>
        <v>282.73</v>
      </c>
      <c r="K5">
        <f ca="1"/>
        <v>45502</v>
      </c>
      <c r="L5" t="str">
        <f ca="1"/>
        <v>MARITTO</v>
      </c>
      <c r="M5" t="str">
        <f ca="1"/>
        <v>53400</v>
      </c>
      <c r="N5" t="str">
        <f ca="1"/>
        <v>St Quentin les Anges</v>
      </c>
      <c r="O5">
        <f ca="1"/>
        <v>53</v>
      </c>
      <c r="P5" t="str">
        <f ca="1"/>
        <v>Colissimo</v>
      </c>
    </row>
    <row r="6" spans="1:16" x14ac:dyDescent="0.25">
      <c r="A6" t="str">
        <f ca="1"/>
        <v>FA-2008-0002</v>
      </c>
      <c r="B6">
        <f ca="1"/>
        <v>45481</v>
      </c>
      <c r="C6">
        <f ca="1"/>
        <v>45502</v>
      </c>
      <c r="D6" t="str">
        <f ca="1"/>
        <v>P3026</v>
      </c>
      <c r="E6" t="str">
        <f ca="1"/>
        <v>Porte tablette</v>
      </c>
      <c r="F6">
        <f ca="1"/>
        <v>22</v>
      </c>
      <c r="G6">
        <f ca="1"/>
        <v>3</v>
      </c>
      <c r="H6">
        <f ca="1"/>
        <v>66</v>
      </c>
      <c r="I6">
        <f ca="1"/>
        <v>79.134</v>
      </c>
      <c r="J6">
        <f ca="1"/>
        <v>22.68</v>
      </c>
      <c r="K6">
        <f ca="1"/>
        <v>45502</v>
      </c>
      <c r="L6" t="str">
        <f ca="1"/>
        <v>MARITTO</v>
      </c>
      <c r="M6" t="str">
        <f ca="1"/>
        <v>53400</v>
      </c>
      <c r="N6" t="str">
        <f ca="1"/>
        <v>St Quentin les Anges</v>
      </c>
      <c r="O6">
        <f ca="1"/>
        <v>53</v>
      </c>
      <c r="P6" t="str">
        <f ca="1"/>
        <v>Colissimo</v>
      </c>
    </row>
    <row r="7" spans="1:16" x14ac:dyDescent="0.25">
      <c r="A7" t="str">
        <f ca="1"/>
        <v>FA-2008-0003</v>
      </c>
      <c r="B7">
        <f ca="1"/>
        <v>45464</v>
      </c>
      <c r="C7">
        <f ca="1"/>
        <v>45485</v>
      </c>
      <c r="D7" t="str">
        <f ca="1"/>
        <v>P5875</v>
      </c>
      <c r="E7" t="str">
        <f ca="1"/>
        <v>Table</v>
      </c>
      <c r="F7">
        <f ca="1"/>
        <v>88</v>
      </c>
      <c r="G7">
        <f ca="1"/>
        <v>2</v>
      </c>
      <c r="H7">
        <f ca="1"/>
        <v>174.78</v>
      </c>
      <c r="I7">
        <f ca="1"/>
        <v>209.56122000000002</v>
      </c>
      <c r="J7">
        <f ca="1"/>
        <v>87.39</v>
      </c>
      <c r="K7">
        <f ca="1"/>
        <v>45485</v>
      </c>
      <c r="L7" t="str">
        <f ca="1"/>
        <v>BASCHET</v>
      </c>
      <c r="M7" t="str">
        <f ca="1"/>
        <v>92500</v>
      </c>
      <c r="N7" t="str">
        <f ca="1"/>
        <v>Rueil Malmaison</v>
      </c>
      <c r="O7">
        <f ca="1"/>
        <v>92</v>
      </c>
      <c r="P7" t="str">
        <f ca="1"/>
        <v>Toto Transport</v>
      </c>
    </row>
    <row r="8" spans="1:16" x14ac:dyDescent="0.25">
      <c r="A8" t="str">
        <f ca="1"/>
        <v>FA-2008-0004</v>
      </c>
      <c r="B8">
        <f ca="1"/>
        <v>45526</v>
      </c>
      <c r="C8">
        <f ca="1"/>
        <v>45547</v>
      </c>
      <c r="D8" t="str">
        <f ca="1"/>
        <v>P1176</v>
      </c>
      <c r="E8" t="str">
        <f ca="1"/>
        <v>Dessous verre</v>
      </c>
      <c r="F8">
        <f ca="1"/>
        <v>12</v>
      </c>
      <c r="G8">
        <f ca="1"/>
        <v>2</v>
      </c>
      <c r="H8">
        <f ca="1"/>
        <v>24</v>
      </c>
      <c r="I8">
        <f ca="1"/>
        <v>28.776000000000003</v>
      </c>
      <c r="J8">
        <f ca="1"/>
        <v>12.16</v>
      </c>
      <c r="K8">
        <f ca="1"/>
        <v>45547</v>
      </c>
      <c r="L8" t="str">
        <f ca="1"/>
        <v>GRASSET</v>
      </c>
      <c r="M8" t="str">
        <f ca="1"/>
        <v>23400</v>
      </c>
      <c r="N8" t="str">
        <f ca="1"/>
        <v>Auriat</v>
      </c>
      <c r="O8">
        <f ca="1"/>
        <v>23</v>
      </c>
      <c r="P8" t="str">
        <f ca="1"/>
        <v>Colissimo</v>
      </c>
    </row>
    <row r="9" spans="1:16" x14ac:dyDescent="0.25">
      <c r="A9" t="str">
        <f ca="1"/>
        <v>FA-2008-0004</v>
      </c>
      <c r="B9">
        <f ca="1"/>
        <v>45526</v>
      </c>
      <c r="C9">
        <f ca="1"/>
        <v>45547</v>
      </c>
      <c r="D9" t="str">
        <f ca="1"/>
        <v>P7910</v>
      </c>
      <c r="E9" t="str">
        <f ca="1"/>
        <v>Ensemble table</v>
      </c>
      <c r="F9">
        <f ca="1"/>
        <v>300</v>
      </c>
      <c r="G9">
        <f ca="1"/>
        <v>1</v>
      </c>
      <c r="H9">
        <f ca="1"/>
        <v>300</v>
      </c>
      <c r="I9">
        <f ca="1"/>
        <v>359.70000000000005</v>
      </c>
      <c r="J9">
        <f ca="1"/>
        <v>398.32</v>
      </c>
      <c r="K9">
        <f ca="1"/>
        <v>45547</v>
      </c>
      <c r="L9" t="str">
        <f ca="1"/>
        <v>GRASSET</v>
      </c>
      <c r="M9" t="str">
        <f ca="1"/>
        <v>23400</v>
      </c>
      <c r="N9" t="str">
        <f ca="1"/>
        <v>Auriat</v>
      </c>
      <c r="O9">
        <f ca="1"/>
        <v>23</v>
      </c>
      <c r="P9" t="str">
        <f ca="1"/>
        <v>Colissimo</v>
      </c>
    </row>
    <row r="10" spans="1:16" x14ac:dyDescent="0.25">
      <c r="A10" t="str">
        <f ca="1"/>
        <v>FA-2008-0004</v>
      </c>
      <c r="B10">
        <f ca="1"/>
        <v>45526</v>
      </c>
      <c r="C10">
        <f ca="1"/>
        <v>45547</v>
      </c>
      <c r="D10" t="str">
        <f ca="1"/>
        <v>P3081</v>
      </c>
      <c r="E10" t="str">
        <f ca="1"/>
        <v>Vase</v>
      </c>
      <c r="F10">
        <f ca="1"/>
        <v>35</v>
      </c>
      <c r="G10">
        <f ca="1"/>
        <v>1</v>
      </c>
      <c r="H10">
        <f ca="1"/>
        <v>34.28</v>
      </c>
      <c r="I10">
        <f ca="1"/>
        <v>41.10172</v>
      </c>
      <c r="J10">
        <f ca="1"/>
        <v>34.28</v>
      </c>
      <c r="K10">
        <f ca="1"/>
        <v>45547</v>
      </c>
      <c r="L10" t="str">
        <f ca="1"/>
        <v>GRASSET</v>
      </c>
      <c r="M10" t="str">
        <f ca="1"/>
        <v>23400</v>
      </c>
      <c r="N10" t="str">
        <f ca="1"/>
        <v>Auriat</v>
      </c>
      <c r="O10">
        <f ca="1"/>
        <v>23</v>
      </c>
      <c r="P10" t="str">
        <f ca="1"/>
        <v>Colissimo</v>
      </c>
    </row>
    <row r="11" spans="1:16" x14ac:dyDescent="0.25">
      <c r="A11" t="str">
        <f ca="1"/>
        <v>FA-2008-0004</v>
      </c>
      <c r="B11">
        <f ca="1"/>
        <v>45526</v>
      </c>
      <c r="C11">
        <f ca="1"/>
        <v>45547</v>
      </c>
      <c r="D11" t="str">
        <f ca="1"/>
        <v>P5875</v>
      </c>
      <c r="E11" t="str">
        <f ca="1"/>
        <v>Table basse</v>
      </c>
      <c r="F11">
        <f ca="1"/>
        <v>88</v>
      </c>
      <c r="G11">
        <f ca="1"/>
        <v>2</v>
      </c>
      <c r="H11">
        <f ca="1"/>
        <v>174.78</v>
      </c>
      <c r="I11">
        <f ca="1"/>
        <v>209.56122000000002</v>
      </c>
      <c r="J11">
        <f ca="1"/>
        <v>87.39</v>
      </c>
      <c r="K11">
        <f ca="1"/>
        <v>45547</v>
      </c>
      <c r="L11" t="str">
        <f ca="1"/>
        <v>GRASSET</v>
      </c>
      <c r="M11" t="str">
        <f ca="1"/>
        <v>23400</v>
      </c>
      <c r="N11" t="str">
        <f ca="1"/>
        <v>Auriat</v>
      </c>
      <c r="O11">
        <f ca="1"/>
        <v>23</v>
      </c>
      <c r="P11" t="str">
        <f ca="1"/>
        <v>Colissimo</v>
      </c>
    </row>
    <row r="12" spans="1:16" x14ac:dyDescent="0.25">
      <c r="A12" t="str">
        <f ca="1"/>
        <v>FA-2008-0005</v>
      </c>
      <c r="B12">
        <f ca="1"/>
        <v>45465</v>
      </c>
      <c r="C12">
        <f ca="1"/>
        <v>45485</v>
      </c>
      <c r="D12" t="str">
        <f ca="1"/>
        <v>P3026</v>
      </c>
      <c r="E12" t="str">
        <f ca="1"/>
        <v>Porte tablette</v>
      </c>
      <c r="F12">
        <f ca="1"/>
        <v>23</v>
      </c>
      <c r="G12">
        <f ca="1"/>
        <v>10</v>
      </c>
      <c r="H12">
        <f ca="1"/>
        <v>226.8</v>
      </c>
      <c r="I12">
        <f ca="1"/>
        <v>271.93320000000006</v>
      </c>
      <c r="J12">
        <f ca="1"/>
        <v>22.68</v>
      </c>
      <c r="K12">
        <f ca="1"/>
        <v>45485</v>
      </c>
      <c r="L12" t="str">
        <f ca="1"/>
        <v>MINELLI</v>
      </c>
      <c r="M12" t="str">
        <f ca="1"/>
        <v>59700</v>
      </c>
      <c r="N12" t="str">
        <f ca="1"/>
        <v>Marq-en-Bareouil</v>
      </c>
      <c r="O12">
        <f ca="1"/>
        <v>59</v>
      </c>
      <c r="P12" t="str">
        <f ca="1"/>
        <v>Toto Transport</v>
      </c>
    </row>
    <row r="13" spans="1:16" x14ac:dyDescent="0.25">
      <c r="A13" t="str">
        <f ca="1"/>
        <v>FA-2008-0006</v>
      </c>
      <c r="B13">
        <f ca="1"/>
        <v>45515</v>
      </c>
      <c r="C13">
        <f ca="1"/>
        <v>45537</v>
      </c>
      <c r="D13" t="str">
        <f ca="1"/>
        <v>P5665</v>
      </c>
      <c r="E13" t="str">
        <f ca="1"/>
        <v>Tabouret</v>
      </c>
      <c r="F13">
        <f ca="1"/>
        <v>54.5</v>
      </c>
      <c r="G13">
        <f ca="1"/>
        <v>6</v>
      </c>
      <c r="H13">
        <f ca="1"/>
        <v>326.76</v>
      </c>
      <c r="I13">
        <f ca="1"/>
        <v>391.78523999999999</v>
      </c>
      <c r="J13">
        <f ca="1"/>
        <v>54.46</v>
      </c>
      <c r="K13">
        <f ca="1"/>
        <v>45537</v>
      </c>
      <c r="L13" t="str">
        <f ca="1"/>
        <v>GALOTTI</v>
      </c>
      <c r="M13" t="str">
        <f ca="1"/>
        <v>64410</v>
      </c>
      <c r="N13" t="str">
        <f ca="1"/>
        <v>Arget</v>
      </c>
      <c r="O13">
        <f ca="1"/>
        <v>64</v>
      </c>
      <c r="P13" t="str">
        <f ca="1"/>
        <v>Colissimo</v>
      </c>
    </row>
    <row r="14" spans="1:16" x14ac:dyDescent="0.25">
      <c r="A14" t="str">
        <f ca="1"/>
        <v>FA-2008-0007</v>
      </c>
      <c r="B14">
        <f ca="1"/>
        <v>45498</v>
      </c>
      <c r="C14">
        <f ca="1"/>
        <v>45520</v>
      </c>
      <c r="D14" t="str">
        <f ca="1"/>
        <v>P3026</v>
      </c>
      <c r="E14" t="str">
        <f ca="1"/>
        <v>Porte tablette</v>
      </c>
      <c r="F14">
        <f ca="1"/>
        <v>23</v>
      </c>
      <c r="G14">
        <f ca="1"/>
        <v>4</v>
      </c>
      <c r="H14">
        <f ca="1"/>
        <v>90.72</v>
      </c>
      <c r="I14">
        <f ca="1"/>
        <v>108.77328</v>
      </c>
      <c r="J14">
        <f ca="1"/>
        <v>22.68</v>
      </c>
      <c r="K14">
        <f ca="1"/>
        <v>45520</v>
      </c>
      <c r="L14" t="str">
        <f ca="1"/>
        <v>DANO</v>
      </c>
      <c r="M14" t="str">
        <f ca="1"/>
        <v>55400</v>
      </c>
      <c r="N14" t="str">
        <f ca="1"/>
        <v>Braquis</v>
      </c>
      <c r="O14">
        <f ca="1"/>
        <v>55</v>
      </c>
      <c r="P14" t="str">
        <f ca="1"/>
        <v>Camion propre</v>
      </c>
    </row>
    <row r="15" spans="1:16" x14ac:dyDescent="0.25">
      <c r="A15" t="str">
        <f ca="1"/>
        <v>FA-2008-0007</v>
      </c>
      <c r="B15">
        <f ca="1"/>
        <v>45498</v>
      </c>
      <c r="C15">
        <f ca="1"/>
        <v>45520</v>
      </c>
      <c r="D15" t="str">
        <f ca="1"/>
        <v>P5026</v>
      </c>
      <c r="E15" t="str">
        <f ca="1"/>
        <v>Chaise haute</v>
      </c>
      <c r="F15">
        <f ca="1"/>
        <v>74</v>
      </c>
      <c r="G15">
        <f ca="1"/>
        <v>4</v>
      </c>
      <c r="H15">
        <f ca="1"/>
        <v>293.16000000000003</v>
      </c>
      <c r="I15">
        <f ca="1"/>
        <v>351.49884000000003</v>
      </c>
      <c r="J15">
        <f ca="1"/>
        <v>73.290000000000006</v>
      </c>
      <c r="K15">
        <f ca="1"/>
        <v>45520</v>
      </c>
      <c r="L15" t="str">
        <f ca="1"/>
        <v>DANO</v>
      </c>
      <c r="M15" t="str">
        <f ca="1"/>
        <v>55400</v>
      </c>
      <c r="N15" t="str">
        <f ca="1"/>
        <v>Braquis</v>
      </c>
      <c r="O15">
        <f ca="1"/>
        <v>55</v>
      </c>
      <c r="P15" t="str">
        <f ca="1"/>
        <v>Camion propre</v>
      </c>
    </row>
    <row r="16" spans="1:16" x14ac:dyDescent="0.25">
      <c r="A16" t="str">
        <f ca="1"/>
        <v>FA-2008-0007</v>
      </c>
      <c r="B16">
        <f ca="1"/>
        <v>45498</v>
      </c>
      <c r="C16">
        <f ca="1"/>
        <v>45520</v>
      </c>
      <c r="D16" t="str">
        <f ca="1"/>
        <v>P3108</v>
      </c>
      <c r="E16" t="str">
        <f ca="1"/>
        <v>Vase</v>
      </c>
      <c r="F16">
        <f ca="1"/>
        <v>35</v>
      </c>
      <c r="G16">
        <f ca="1"/>
        <v>3</v>
      </c>
      <c r="H16">
        <f ca="1"/>
        <v>105</v>
      </c>
      <c r="I16">
        <f ca="1"/>
        <v>125.89500000000001</v>
      </c>
      <c r="J16">
        <f ca="1"/>
        <v>95.51</v>
      </c>
      <c r="K16">
        <f ca="1"/>
        <v>45520</v>
      </c>
      <c r="L16" t="str">
        <f ca="1"/>
        <v>DANO</v>
      </c>
      <c r="M16" t="str">
        <f ca="1"/>
        <v>55400</v>
      </c>
      <c r="N16" t="str">
        <f ca="1"/>
        <v>Braquis</v>
      </c>
      <c r="O16">
        <f ca="1"/>
        <v>55</v>
      </c>
      <c r="P16" t="str">
        <f ca="1"/>
        <v>Camion propre</v>
      </c>
    </row>
    <row r="17" spans="1:16" x14ac:dyDescent="0.25">
      <c r="A17" t="str">
        <f ca="1"/>
        <v>FA-2008-0008</v>
      </c>
      <c r="B17">
        <f ca="1"/>
        <v>45515</v>
      </c>
      <c r="C17">
        <f ca="1"/>
        <v>45537</v>
      </c>
      <c r="D17" t="str">
        <f ca="1"/>
        <v>P3026</v>
      </c>
      <c r="E17" t="str">
        <f ca="1"/>
        <v>Porte tablette</v>
      </c>
      <c r="F17">
        <f ca="1"/>
        <v>23</v>
      </c>
      <c r="G17">
        <f ca="1"/>
        <v>2</v>
      </c>
      <c r="H17">
        <f ca="1"/>
        <v>45.36</v>
      </c>
      <c r="I17">
        <f ca="1"/>
        <v>54.38664</v>
      </c>
      <c r="J17">
        <f ca="1"/>
        <v>22.68</v>
      </c>
      <c r="K17">
        <f ca="1"/>
        <v>45537</v>
      </c>
      <c r="L17" t="str">
        <f ca="1"/>
        <v>GLORI</v>
      </c>
      <c r="M17" t="str">
        <f ca="1"/>
        <v>52400</v>
      </c>
      <c r="N17" t="str">
        <f ca="1"/>
        <v>Aigremont</v>
      </c>
      <c r="O17">
        <f ca="1"/>
        <v>52</v>
      </c>
      <c r="P17" t="str">
        <f ca="1"/>
        <v>Camion propre</v>
      </c>
    </row>
    <row r="18" spans="1:16" x14ac:dyDescent="0.25">
      <c r="A18" t="str">
        <f ca="1"/>
        <v>FA-2008-0009</v>
      </c>
      <c r="B18">
        <f ca="1"/>
        <v>45527</v>
      </c>
      <c r="C18">
        <f ca="1"/>
        <v>45548</v>
      </c>
      <c r="D18" t="str">
        <f ca="1"/>
        <v>P9167</v>
      </c>
      <c r="E18" t="str">
        <f ca="1"/>
        <v>Table haute / bar</v>
      </c>
      <c r="F18">
        <f ca="1"/>
        <v>370</v>
      </c>
      <c r="G18">
        <f ca="1"/>
        <v>1</v>
      </c>
      <c r="H18">
        <f ca="1"/>
        <v>370</v>
      </c>
      <c r="I18">
        <f ca="1"/>
        <v>443.63000000000005</v>
      </c>
      <c r="J18">
        <f ca="1"/>
        <v>370.57</v>
      </c>
      <c r="K18">
        <f ca="1"/>
        <v>45548</v>
      </c>
      <c r="L18" t="str">
        <f ca="1"/>
        <v>BASCHET</v>
      </c>
      <c r="M18" t="str">
        <f ca="1"/>
        <v>04210</v>
      </c>
      <c r="N18" t="str">
        <f ca="1"/>
        <v>Brunet</v>
      </c>
      <c r="O18">
        <f ca="1"/>
        <v>4</v>
      </c>
      <c r="P18" t="str">
        <f ca="1"/>
        <v>Colissimo</v>
      </c>
    </row>
    <row r="19" spans="1:16" x14ac:dyDescent="0.25">
      <c r="A19" t="str">
        <f ca="1"/>
        <v>FA-2008-0009</v>
      </c>
      <c r="B19">
        <f ca="1"/>
        <v>45527</v>
      </c>
      <c r="C19">
        <f ca="1"/>
        <v>45548</v>
      </c>
      <c r="D19" t="str">
        <f ca="1"/>
        <v>P5665</v>
      </c>
      <c r="E19" t="str">
        <f ca="1"/>
        <v>Tabouret</v>
      </c>
      <c r="F19">
        <f ca="1"/>
        <v>54.5</v>
      </c>
      <c r="G19">
        <f ca="1"/>
        <v>4</v>
      </c>
      <c r="H19">
        <f ca="1"/>
        <v>217.84</v>
      </c>
      <c r="I19">
        <f ca="1"/>
        <v>261.19015999999999</v>
      </c>
      <c r="J19">
        <f ca="1"/>
        <v>54.46</v>
      </c>
      <c r="K19">
        <f ca="1"/>
        <v>45548</v>
      </c>
      <c r="L19" t="str">
        <f ca="1"/>
        <v>BASCHET</v>
      </c>
      <c r="M19" t="str">
        <f ca="1"/>
        <v>04210</v>
      </c>
      <c r="N19" t="str">
        <f ca="1"/>
        <v>Brunet</v>
      </c>
      <c r="O19">
        <f ca="1"/>
        <v>4</v>
      </c>
      <c r="P19" t="str">
        <f ca="1"/>
        <v>Colissimo</v>
      </c>
    </row>
    <row r="20" spans="1:16" x14ac:dyDescent="0.25">
      <c r="A20" t="str">
        <f ca="1"/>
        <v>FA-2008-0009</v>
      </c>
      <c r="B20">
        <f ca="1"/>
        <v>45527</v>
      </c>
      <c r="C20">
        <f ca="1"/>
        <v>45548</v>
      </c>
      <c r="D20" t="str">
        <f ca="1"/>
        <v>P6953</v>
      </c>
      <c r="E20" t="str">
        <f ca="1"/>
        <v>Ensemble jardin</v>
      </c>
      <c r="F20">
        <f ca="1"/>
        <v>282</v>
      </c>
      <c r="G20">
        <f ca="1"/>
        <v>1</v>
      </c>
      <c r="H20">
        <f ca="1"/>
        <v>282</v>
      </c>
      <c r="I20">
        <f ca="1"/>
        <v>338.11799999999999</v>
      </c>
      <c r="J20">
        <f ca="1"/>
        <v>282.73</v>
      </c>
      <c r="K20">
        <f ca="1"/>
        <v>45548</v>
      </c>
      <c r="L20" t="str">
        <f ca="1"/>
        <v>BASCHET</v>
      </c>
      <c r="M20" t="str">
        <f ca="1"/>
        <v>04210</v>
      </c>
      <c r="N20" t="str">
        <f ca="1"/>
        <v>Brunet</v>
      </c>
      <c r="O20">
        <f ca="1"/>
        <v>4</v>
      </c>
      <c r="P20" t="str">
        <f ca="1"/>
        <v>Colissimo</v>
      </c>
    </row>
    <row r="21" spans="1:16" x14ac:dyDescent="0.25">
      <c r="A21" t="str">
        <f ca="1"/>
        <v>FA-2008-0009</v>
      </c>
      <c r="B21">
        <f ca="1"/>
        <v>45527</v>
      </c>
      <c r="C21">
        <f ca="1"/>
        <v>45548</v>
      </c>
      <c r="D21" t="str">
        <f ca="1"/>
        <v>P3081</v>
      </c>
      <c r="E21" t="str">
        <f ca="1"/>
        <v>Vase</v>
      </c>
      <c r="F21">
        <f ca="1"/>
        <v>35</v>
      </c>
      <c r="G21">
        <f ca="1"/>
        <v>2</v>
      </c>
      <c r="H21">
        <f ca="1"/>
        <v>68.56</v>
      </c>
      <c r="I21">
        <f ca="1"/>
        <v>82.203440000000001</v>
      </c>
      <c r="J21">
        <f ca="1"/>
        <v>34.28</v>
      </c>
      <c r="K21">
        <f ca="1"/>
        <v>45548</v>
      </c>
      <c r="L21" t="str">
        <f ca="1"/>
        <v>BASCHET</v>
      </c>
      <c r="M21" t="str">
        <f ca="1"/>
        <v>04210</v>
      </c>
      <c r="N21" t="str">
        <f ca="1"/>
        <v>Brunet</v>
      </c>
      <c r="O21">
        <f ca="1"/>
        <v>4</v>
      </c>
      <c r="P21" t="str">
        <f ca="1"/>
        <v>Colissimo</v>
      </c>
    </row>
    <row r="22" spans="1:16" x14ac:dyDescent="0.25">
      <c r="A22" t="str">
        <f ca="1"/>
        <v>FA-2008-0010</v>
      </c>
      <c r="B22">
        <f ca="1"/>
        <v>45495</v>
      </c>
      <c r="C22">
        <f ca="1"/>
        <v>45516</v>
      </c>
      <c r="D22" t="str">
        <f ca="1"/>
        <v>P5665</v>
      </c>
      <c r="E22" t="str">
        <f ca="1"/>
        <v>Tabouret</v>
      </c>
      <c r="F22">
        <f ca="1"/>
        <v>54.5</v>
      </c>
      <c r="G22">
        <f ca="1"/>
        <v>1</v>
      </c>
      <c r="H22">
        <f ca="1"/>
        <v>54.46</v>
      </c>
      <c r="I22">
        <f ca="1"/>
        <v>65.297539999999998</v>
      </c>
      <c r="J22">
        <f ca="1"/>
        <v>54.46</v>
      </c>
      <c r="K22">
        <f ca="1"/>
        <v>45516</v>
      </c>
      <c r="L22" t="str">
        <f ca="1"/>
        <v>CEREJA</v>
      </c>
      <c r="M22" t="str">
        <f ca="1"/>
        <v>99 999</v>
      </c>
      <c r="N22" t="str">
        <f ca="1"/>
        <v>Santa Maria, BR</v>
      </c>
      <c r="O22">
        <f ca="1"/>
        <v>99</v>
      </c>
      <c r="P22" t="str">
        <f ca="1"/>
        <v>A DEFINIR</v>
      </c>
    </row>
    <row r="23" spans="1:16" x14ac:dyDescent="0.25">
      <c r="A23" t="str">
        <f ca="1"/>
        <v>FA-2008-0010</v>
      </c>
      <c r="B23">
        <f ca="1"/>
        <v>45495</v>
      </c>
      <c r="C23">
        <f ca="1"/>
        <v>45516</v>
      </c>
      <c r="D23" t="str">
        <f ca="1"/>
        <v>P5026</v>
      </c>
      <c r="E23" t="str">
        <f ca="1"/>
        <v>Chaise haute</v>
      </c>
      <c r="F23">
        <f ca="1"/>
        <v>73.5</v>
      </c>
      <c r="G23">
        <f ca="1"/>
        <v>2</v>
      </c>
      <c r="H23">
        <f ca="1"/>
        <v>146.58000000000001</v>
      </c>
      <c r="I23">
        <f ca="1"/>
        <v>175.74942000000001</v>
      </c>
      <c r="J23">
        <f ca="1"/>
        <v>73.290000000000006</v>
      </c>
      <c r="K23">
        <f ca="1"/>
        <v>45516</v>
      </c>
      <c r="L23" t="str">
        <f ca="1"/>
        <v>CEREJA</v>
      </c>
      <c r="M23" t="str">
        <f ca="1"/>
        <v>99 999</v>
      </c>
      <c r="N23" t="str">
        <f ca="1"/>
        <v>Santa Maria, BR</v>
      </c>
      <c r="O23">
        <f ca="1"/>
        <v>99</v>
      </c>
      <c r="P23" t="str">
        <f ca="1"/>
        <v>A DEFINIR</v>
      </c>
    </row>
    <row r="24" spans="1:16" x14ac:dyDescent="0.25">
      <c r="A24" t="str">
        <f ca="1"/>
        <v>FA-2008-0011</v>
      </c>
      <c r="B24">
        <f ca="1"/>
        <v>45536</v>
      </c>
      <c r="C24">
        <f ca="1"/>
        <v>45555</v>
      </c>
      <c r="D24" t="str">
        <f ca="1"/>
        <v>P9167</v>
      </c>
      <c r="E24" t="str">
        <f ca="1"/>
        <v>Table haute / bar</v>
      </c>
      <c r="F24">
        <f ca="1"/>
        <v>370</v>
      </c>
      <c r="G24">
        <f ca="1"/>
        <v>1</v>
      </c>
      <c r="H24">
        <f ca="1"/>
        <v>370</v>
      </c>
      <c r="I24">
        <f ca="1"/>
        <v>443.63000000000005</v>
      </c>
      <c r="J24">
        <f ca="1"/>
        <v>370.57</v>
      </c>
      <c r="K24">
        <f ca="1"/>
        <v>45555</v>
      </c>
      <c r="L24" t="str">
        <f ca="1"/>
        <v>MINELLI</v>
      </c>
      <c r="M24" t="str">
        <f ca="1"/>
        <v>59700</v>
      </c>
      <c r="N24" t="str">
        <f ca="1"/>
        <v>Marq-en-Bareouil</v>
      </c>
      <c r="O24">
        <f ca="1"/>
        <v>59</v>
      </c>
      <c r="P24" t="str">
        <f ca="1"/>
        <v>Toto Transport</v>
      </c>
    </row>
    <row r="25" spans="1:16" x14ac:dyDescent="0.25">
      <c r="A25" t="str">
        <f ca="1"/>
        <v>FA-2008-0012</v>
      </c>
      <c r="B25">
        <f ca="1"/>
        <v>45536</v>
      </c>
      <c r="C25">
        <f ca="1"/>
        <v>45555</v>
      </c>
      <c r="D25" t="str">
        <f ca="1"/>
        <v>P3108</v>
      </c>
      <c r="E25" t="str">
        <f ca="1"/>
        <v>Vase</v>
      </c>
      <c r="F25">
        <f ca="1"/>
        <v>35</v>
      </c>
      <c r="G25">
        <f ca="1"/>
        <v>2</v>
      </c>
      <c r="H25">
        <f ca="1"/>
        <v>70</v>
      </c>
      <c r="I25">
        <f ca="1"/>
        <v>83.93</v>
      </c>
      <c r="J25">
        <f ca="1"/>
        <v>95.51</v>
      </c>
      <c r="K25">
        <f ca="1"/>
        <v>45555</v>
      </c>
      <c r="L25" t="str">
        <f ca="1"/>
        <v>DE LAON</v>
      </c>
      <c r="M25">
        <f ca="1"/>
        <v>51100</v>
      </c>
      <c r="N25" t="str">
        <f ca="1"/>
        <v>Reims</v>
      </c>
      <c r="O25">
        <f ca="1"/>
        <v>51</v>
      </c>
      <c r="P25" t="str">
        <f ca="1"/>
        <v>Camion propre</v>
      </c>
    </row>
    <row r="26" spans="1:16" x14ac:dyDescent="0.25">
      <c r="A26" t="str">
        <f ca="1"/>
        <v>FA-2008-0013</v>
      </c>
      <c r="B26">
        <f ca="1"/>
        <v>45537</v>
      </c>
      <c r="C26">
        <f ca="1"/>
        <v>45558</v>
      </c>
      <c r="D26" t="str">
        <f ca="1"/>
        <v>P5665</v>
      </c>
      <c r="E26" t="str">
        <f ca="1"/>
        <v>Tabouret</v>
      </c>
      <c r="F26">
        <f ca="1"/>
        <v>55</v>
      </c>
      <c r="G26">
        <f ca="1"/>
        <v>4</v>
      </c>
      <c r="H26">
        <f ca="1"/>
        <v>217.84</v>
      </c>
      <c r="I26">
        <f ca="1"/>
        <v>261.19015999999999</v>
      </c>
      <c r="J26">
        <f ca="1"/>
        <v>54.46</v>
      </c>
      <c r="K26">
        <f ca="1"/>
        <v>45558</v>
      </c>
      <c r="L26" t="str">
        <f ca="1"/>
        <v>TOVALSKI</v>
      </c>
      <c r="M26">
        <f ca="1"/>
        <v>33025</v>
      </c>
      <c r="N26" t="str">
        <f ca="1"/>
        <v>Bordeaux</v>
      </c>
      <c r="O26">
        <f ca="1"/>
        <v>33</v>
      </c>
      <c r="P26" t="str">
        <f ca="1"/>
        <v>Colissimo</v>
      </c>
    </row>
    <row r="27" spans="1:16" x14ac:dyDescent="0.25">
      <c r="A27" t="str">
        <f ca="1"/>
        <v>FA-2008-0013</v>
      </c>
      <c r="B27">
        <f ca="1"/>
        <v>45537</v>
      </c>
      <c r="C27">
        <f ca="1"/>
        <v>45558</v>
      </c>
      <c r="D27" t="str">
        <f ca="1"/>
        <v>P5026</v>
      </c>
      <c r="E27" t="str">
        <f ca="1"/>
        <v>Chaise haute</v>
      </c>
      <c r="F27">
        <f ca="1"/>
        <v>70</v>
      </c>
      <c r="G27">
        <f ca="1"/>
        <v>4</v>
      </c>
      <c r="H27">
        <f ca="1"/>
        <v>280</v>
      </c>
      <c r="I27">
        <f ca="1"/>
        <v>335.72</v>
      </c>
      <c r="J27">
        <f ca="1"/>
        <v>73.290000000000006</v>
      </c>
      <c r="K27">
        <f ca="1"/>
        <v>45558</v>
      </c>
      <c r="L27" t="str">
        <f ca="1"/>
        <v>TOVALSKI</v>
      </c>
      <c r="M27">
        <f ca="1"/>
        <v>33025</v>
      </c>
      <c r="N27" t="str">
        <f ca="1"/>
        <v>Bordeaux</v>
      </c>
      <c r="O27">
        <f ca="1"/>
        <v>33</v>
      </c>
      <c r="P27" t="str">
        <f ca="1"/>
        <v>Colissimo</v>
      </c>
    </row>
    <row r="28" spans="1:16" x14ac:dyDescent="0.25">
      <c r="A28" t="str">
        <f ca="1"/>
        <v>FA-2008-0013</v>
      </c>
      <c r="B28">
        <f ca="1"/>
        <v>45537</v>
      </c>
      <c r="C28">
        <f ca="1"/>
        <v>45558</v>
      </c>
      <c r="D28" t="str">
        <f ca="1"/>
        <v>P9167</v>
      </c>
      <c r="E28" t="str">
        <f ca="1"/>
        <v>Table haute / bar</v>
      </c>
      <c r="F28">
        <f ca="1"/>
        <v>370</v>
      </c>
      <c r="G28">
        <f ca="1"/>
        <v>1</v>
      </c>
      <c r="H28">
        <f ca="1"/>
        <v>370</v>
      </c>
      <c r="I28">
        <f ca="1"/>
        <v>443.63000000000005</v>
      </c>
      <c r="J28">
        <f ca="1"/>
        <v>370.57</v>
      </c>
      <c r="K28">
        <f ca="1"/>
        <v>45558</v>
      </c>
      <c r="L28" t="str">
        <f ca="1"/>
        <v>TOVALSKI</v>
      </c>
      <c r="M28">
        <f ca="1"/>
        <v>33025</v>
      </c>
      <c r="N28" t="str">
        <f ca="1"/>
        <v>Bordeaux</v>
      </c>
      <c r="O28">
        <f ca="1"/>
        <v>33</v>
      </c>
      <c r="P28" t="str">
        <f ca="1"/>
        <v>Colissimo</v>
      </c>
    </row>
    <row r="29" spans="1:16" x14ac:dyDescent="0.25">
      <c r="A29" t="str">
        <f ca="1"/>
        <v>FA-2008-0012</v>
      </c>
      <c r="B29">
        <f ca="1"/>
        <v>45536</v>
      </c>
      <c r="C29">
        <f ca="1"/>
        <v>45555</v>
      </c>
      <c r="D29" t="str">
        <f ca="1"/>
        <v>P3026</v>
      </c>
      <c r="E29" t="str">
        <f ca="1"/>
        <v>Porte tablette</v>
      </c>
      <c r="F29">
        <f ca="1"/>
        <v>25</v>
      </c>
      <c r="G29">
        <f ca="1"/>
        <v>2</v>
      </c>
      <c r="H29">
        <f ca="1"/>
        <v>45.36</v>
      </c>
      <c r="I29">
        <f ca="1"/>
        <v>54.38664</v>
      </c>
      <c r="J29">
        <f ca="1"/>
        <v>22.68</v>
      </c>
      <c r="K29">
        <f ca="1"/>
        <v>45555</v>
      </c>
      <c r="L29" t="str">
        <f ca="1"/>
        <v>DE LAON</v>
      </c>
      <c r="M29">
        <f ca="1"/>
        <v>51100</v>
      </c>
      <c r="N29" t="str">
        <f ca="1"/>
        <v>Reims</v>
      </c>
      <c r="O29">
        <f ca="1"/>
        <v>51</v>
      </c>
      <c r="P29" t="str">
        <f ca="1"/>
        <v>Camion propre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EC7E2E4-2D52-B747-9A8C-011F8893454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10</vt:i4>
      </vt:variant>
    </vt:vector>
  </HeadingPairs>
  <TitlesOfParts>
    <vt:vector size="22" baseType="lpstr">
      <vt:lpstr>catalogue</vt:lpstr>
      <vt:lpstr>Ventes</vt:lpstr>
      <vt:lpstr>Factures</vt:lpstr>
      <vt:lpstr>Transport</vt:lpstr>
      <vt:lpstr>Feuil3</vt:lpstr>
      <vt:lpstr>JourFériés</vt:lpstr>
      <vt:lpstr>Recherches</vt:lpstr>
      <vt:lpstr>TCD ventes</vt:lpstr>
      <vt:lpstr>TCD Livraisons</vt:lpstr>
      <vt:lpstr>TCD Décaler</vt:lpstr>
      <vt:lpstr>Ventes (copie)</vt:lpstr>
      <vt:lpstr>formule decaler</vt:lpstr>
      <vt:lpstr>Facture</vt:lpstr>
      <vt:lpstr>Factures</vt:lpstr>
      <vt:lpstr>JoursFeries</vt:lpstr>
      <vt:lpstr>NumDept</vt:lpstr>
      <vt:lpstr>Transporteur</vt:lpstr>
      <vt:lpstr>TVA</vt:lpstr>
      <vt:lpstr>TVAcopie</vt:lpstr>
      <vt:lpstr>Ventes</vt:lpstr>
      <vt:lpstr>ZoneRechFactures</vt:lpstr>
      <vt:lpstr>ZoneRechVentes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Manuele Kirsch Pinheiro</cp:lastModifiedBy>
  <dcterms:created xsi:type="dcterms:W3CDTF">2024-01-11T13:37:09Z</dcterms:created>
  <dcterms:modified xsi:type="dcterms:W3CDTF">2025-09-04T12:31:39Z</dcterms:modified>
</cp:coreProperties>
</file>