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ropbox/Aulas/EMEP/Excel/EMER/Solutions/"/>
    </mc:Choice>
  </mc:AlternateContent>
  <xr:revisionPtr revIDLastSave="0" documentId="13_ncr:1_{C2042163-679C-4241-8181-8478F4656221}" xr6:coauthVersionLast="47" xr6:coauthVersionMax="47" xr10:uidLastSave="{00000000-0000-0000-0000-000000000000}"/>
  <bookViews>
    <workbookView xWindow="1500" yWindow="500" windowWidth="25120" windowHeight="14740" xr2:uid="{EAB5733B-41EE-5249-83AF-56CE41F7E6FA}"/>
  </bookViews>
  <sheets>
    <sheet name="range" sheetId="1" r:id="rId1"/>
    <sheet name="JoursFériés" sheetId="8" r:id="rId2"/>
    <sheet name="Frais au km" sheetId="9" r:id="rId3"/>
    <sheet name="statistiques" sheetId="3" r:id="rId4"/>
    <sheet name="prêts" sheetId="5" r:id="rId5"/>
    <sheet name="texte" sheetId="6" r:id="rId6"/>
    <sheet name="dates" sheetId="4" r:id="rId7"/>
    <sheet name="tests" sheetId="7" r:id="rId8"/>
    <sheet name="affichage" sheetId="10" r:id="rId9"/>
  </sheets>
  <definedNames>
    <definedName name="Forfait">tests!$D$1</definedName>
    <definedName name="JoursFeries">JoursFériés!$A$2:$A$12</definedName>
    <definedName name="Noms_Jours_fériés">JoursFériés!$B$2:$B$12</definedName>
    <definedName name="PrixKM">'Frais au km'!$B$1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8" l="1"/>
  <c r="C4" i="8"/>
  <c r="C5" i="8"/>
  <c r="C6" i="8"/>
  <c r="C7" i="8"/>
  <c r="C8" i="8"/>
  <c r="C9" i="8"/>
  <c r="C10" i="8"/>
  <c r="C11" i="8"/>
  <c r="C12" i="8"/>
  <c r="C2" i="8"/>
  <c r="C19" i="7" a="1"/>
  <c r="C19" i="7" s="1"/>
  <c r="C20" i="7" a="1"/>
  <c r="C20" i="7" s="1"/>
  <c r="C21" i="7" a="1"/>
  <c r="C21" i="7" s="1"/>
  <c r="C22" i="7" a="1"/>
  <c r="C22" i="7" s="1"/>
  <c r="C18" i="7" a="1"/>
  <c r="C18" i="7" s="1"/>
  <c r="H9" i="7"/>
  <c r="I4" i="7" l="1"/>
  <c r="J4" i="7"/>
  <c r="I5" i="7"/>
  <c r="J5" i="7"/>
  <c r="J3" i="7"/>
  <c r="I3" i="7"/>
  <c r="K4" i="9" l="1"/>
  <c r="K5" i="9"/>
  <c r="K6" i="9"/>
  <c r="K3" i="9"/>
  <c r="J4" i="9"/>
  <c r="J5" i="9"/>
  <c r="J6" i="9"/>
  <c r="J3" i="9"/>
  <c r="I4" i="9"/>
  <c r="I5" i="9"/>
  <c r="I6" i="9"/>
  <c r="I3" i="9"/>
  <c r="B25" i="6"/>
  <c r="B24" i="6"/>
  <c r="G22" i="6"/>
  <c r="G20" i="6"/>
  <c r="G21" i="6"/>
  <c r="B20" i="6"/>
  <c r="B23" i="6"/>
  <c r="B22" i="6"/>
  <c r="F17" i="6"/>
  <c r="E17" i="6"/>
  <c r="D17" i="6"/>
  <c r="D16" i="6"/>
  <c r="J14" i="6"/>
  <c r="K14" i="6" s="1"/>
  <c r="G13" i="6"/>
  <c r="I13" i="6" s="1"/>
  <c r="H5" i="6"/>
  <c r="H4" i="6"/>
  <c r="H10" i="6"/>
  <c r="G10" i="6"/>
  <c r="F10" i="6"/>
  <c r="E10" i="6"/>
  <c r="I7" i="6"/>
  <c r="G7" i="6"/>
  <c r="H14" i="6"/>
  <c r="I14" i="6"/>
  <c r="E14" i="6"/>
  <c r="F14" i="6"/>
  <c r="F13" i="6"/>
  <c r="E13" i="6"/>
  <c r="K2" i="6"/>
  <c r="J2" i="6"/>
  <c r="I2" i="6"/>
  <c r="E2" i="6"/>
  <c r="H2" i="6"/>
  <c r="G2" i="6"/>
  <c r="L14" i="6" l="1"/>
  <c r="H13" i="6"/>
  <c r="F2" i="6" l="1"/>
  <c r="C3" i="6"/>
  <c r="C4" i="6"/>
  <c r="C5" i="6"/>
  <c r="C6" i="6"/>
  <c r="C7" i="6"/>
  <c r="C2" i="6"/>
  <c r="B6" i="4" l="1"/>
  <c r="B8" i="4" s="1"/>
  <c r="B2" i="4"/>
  <c r="D5" i="4"/>
  <c r="B5" i="4"/>
  <c r="B4" i="4"/>
  <c r="B3" i="4"/>
  <c r="B1" i="4"/>
  <c r="E3" i="5"/>
  <c r="D4" i="5"/>
  <c r="C2" i="5"/>
  <c r="B7" i="5"/>
  <c r="B6" i="5"/>
  <c r="B5" i="5"/>
  <c r="B9" i="3"/>
  <c r="B8" i="3"/>
  <c r="B5" i="3"/>
  <c r="B7" i="3"/>
  <c r="B6" i="3"/>
  <c r="F4" i="9"/>
  <c r="F5" i="9"/>
  <c r="F6" i="9"/>
  <c r="F3" i="9"/>
  <c r="E4" i="9"/>
  <c r="E5" i="9"/>
  <c r="E6" i="9"/>
  <c r="E3" i="9"/>
  <c r="E4" i="1"/>
  <c r="E2" i="1"/>
  <c r="E3" i="1"/>
  <c r="E1" i="1"/>
  <c r="B9" i="4" l="1"/>
  <c r="B7" i="4"/>
  <c r="B10" i="4"/>
  <c r="B21" i="6"/>
  <c r="H4" i="7"/>
  <c r="H5" i="7"/>
  <c r="H3" i="7"/>
  <c r="G4" i="7" l="1"/>
  <c r="G5" i="7"/>
  <c r="G3" i="7"/>
  <c r="D14" i="6"/>
  <c r="B12" i="7" l="1"/>
  <c r="D12" i="7"/>
  <c r="C12" i="7"/>
  <c r="B7" i="7"/>
  <c r="B9" i="7"/>
  <c r="K5" i="7" a="1"/>
  <c r="K5" i="7" s="1"/>
  <c r="D14" i="7"/>
  <c r="B14" i="7"/>
  <c r="C14" i="7"/>
  <c r="K4" i="7" a="1"/>
  <c r="K4" i="7" s="1"/>
  <c r="B13" i="7"/>
  <c r="D13" i="7"/>
  <c r="C13" i="7"/>
  <c r="B8" i="7"/>
  <c r="H8" i="7"/>
  <c r="H7" i="7"/>
  <c r="K3" i="7" a="1"/>
  <c r="K3" i="7" s="1"/>
  <c r="G14" i="6"/>
  <c r="J13" i="6"/>
  <c r="C3" i="1"/>
  <c r="C2" i="1"/>
  <c r="C1" i="1"/>
  <c r="K13" i="6" l="1"/>
  <c r="L13" i="6"/>
  <c r="E4" i="6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<sst xmlns="http://schemas.openxmlformats.org/spreadsheetml/2006/main" count="202" uniqueCount="169">
  <si>
    <t>Prix KM</t>
  </si>
  <si>
    <t>Forfait</t>
  </si>
  <si>
    <t>Nom</t>
  </si>
  <si>
    <t>Service</t>
  </si>
  <si>
    <t>Début</t>
  </si>
  <si>
    <t>Fin</t>
  </si>
  <si>
    <t>KM Deb</t>
  </si>
  <si>
    <t>KM Fin</t>
  </si>
  <si>
    <t>Jean Dupont</t>
  </si>
  <si>
    <t>Compta</t>
  </si>
  <si>
    <t>Regis Champs</t>
  </si>
  <si>
    <t>Ventes</t>
  </si>
  <si>
    <t>T. Otto</t>
  </si>
  <si>
    <t>Vente</t>
  </si>
  <si>
    <t>Frais (avec nom)</t>
  </si>
  <si>
    <t>Ecartype</t>
  </si>
  <si>
    <t>Ecartypep</t>
  </si>
  <si>
    <t>arrondi</t>
  </si>
  <si>
    <t>Moyenne</t>
  </si>
  <si>
    <t>AUJOURDHUI</t>
  </si>
  <si>
    <t>DATE</t>
  </si>
  <si>
    <t>JOURS</t>
  </si>
  <si>
    <t>JOURS OUVR</t>
  </si>
  <si>
    <t>No SEMAINE</t>
  </si>
  <si>
    <t xml:space="preserve">Jours Fériés  </t>
  </si>
  <si>
    <t>(à placer dans une autre feuille)</t>
  </si>
  <si>
    <t>(attention au format de la cellule)</t>
  </si>
  <si>
    <t>Mensualité ?</t>
  </si>
  <si>
    <t>Montant ?</t>
  </si>
  <si>
    <t>Durée ?</t>
  </si>
  <si>
    <t xml:space="preserve">Taux ? </t>
  </si>
  <si>
    <t>Montant</t>
  </si>
  <si>
    <t>Taux annuel</t>
  </si>
  <si>
    <t>Durée</t>
  </si>
  <si>
    <t>Mensualités</t>
  </si>
  <si>
    <t xml:space="preserve">Annualité </t>
  </si>
  <si>
    <t>Attention</t>
  </si>
  <si>
    <t>Taux en pourcentage (format)</t>
  </si>
  <si>
    <t>Durée, taux et valeur à payer dans la même unité (mois ou année)</t>
  </si>
  <si>
    <t>Résultats négatifs car déremboursement</t>
  </si>
  <si>
    <t>Prénom</t>
  </si>
  <si>
    <t>Email</t>
  </si>
  <si>
    <t xml:space="preserve">&amp; </t>
  </si>
  <si>
    <t>TROUVE</t>
  </si>
  <si>
    <t>CHERCHE</t>
  </si>
  <si>
    <t>GAUCHE+CHERCHE</t>
  </si>
  <si>
    <t>Toto</t>
  </si>
  <si>
    <t>Tartu</t>
  </si>
  <si>
    <t>Titi</t>
  </si>
  <si>
    <t>Tarti</t>
  </si>
  <si>
    <t>Tata</t>
  </si>
  <si>
    <t>attention TROUVE est sensible à la case (majuscule ≠ minuscule)</t>
  </si>
  <si>
    <t>JOINDRE.TEXTE</t>
  </si>
  <si>
    <t>MAJUSCULE</t>
  </si>
  <si>
    <t>tartu</t>
  </si>
  <si>
    <t xml:space="preserve">  toto   tartu  </t>
  </si>
  <si>
    <t>Nettoyage des espaces</t>
  </si>
  <si>
    <t>SUPPRESPACE</t>
  </si>
  <si>
    <t>EPURAGE</t>
  </si>
  <si>
    <t>(avec SUPPRESPACE et EPURAGE)</t>
  </si>
  <si>
    <t>NBCAR</t>
  </si>
  <si>
    <t>Caractères "invisibles" présents :</t>
  </si>
  <si>
    <t>Espaces avant, après, au milieu :</t>
  </si>
  <si>
    <t>STXT</t>
  </si>
  <si>
    <t>STXT + CHERCHE</t>
  </si>
  <si>
    <t>KM</t>
  </si>
  <si>
    <t>Nb Jours</t>
  </si>
  <si>
    <t>NB.SI.ENS</t>
  </si>
  <si>
    <t xml:space="preserve">NB.SI </t>
  </si>
  <si>
    <t>SOMME.SI</t>
  </si>
  <si>
    <t>ligne 4</t>
  </si>
  <si>
    <t>ligne 3</t>
  </si>
  <si>
    <t>OU</t>
  </si>
  <si>
    <t xml:space="preserve">SI </t>
  </si>
  <si>
    <t>ligne 5</t>
  </si>
  <si>
    <t>SI + SI</t>
  </si>
  <si>
    <t xml:space="preserve"> SI.COND</t>
  </si>
  <si>
    <t>Devoir 1</t>
  </si>
  <si>
    <t>Concept</t>
  </si>
  <si>
    <t>Tutu</t>
  </si>
  <si>
    <t>Tupi</t>
  </si>
  <si>
    <t>noms nettoyés et formatés</t>
  </si>
  <si>
    <t xml:space="preserve">Conditions </t>
  </si>
  <si>
    <t>Bx="Ventes"</t>
  </si>
  <si>
    <t>Gx &gt; 1000</t>
  </si>
  <si>
    <t>OU avec *</t>
  </si>
  <si>
    <t>Si vrai, on ajoute 10% à Ix</t>
  </si>
  <si>
    <t>Somme A1 et D1</t>
  </si>
  <si>
    <t>Somme de A1 jusqu'à D3</t>
  </si>
  <si>
    <t>A faire</t>
  </si>
  <si>
    <t>Année</t>
  </si>
  <si>
    <t>Jour de l'An</t>
  </si>
  <si>
    <t>Lundi de Pâques</t>
  </si>
  <si>
    <t>Fête du Travail</t>
  </si>
  <si>
    <t>Victoire 1945</t>
  </si>
  <si>
    <t>Ascension</t>
  </si>
  <si>
    <t>Pentecôte</t>
  </si>
  <si>
    <t>Fête nationale</t>
  </si>
  <si>
    <t>Assomption</t>
  </si>
  <si>
    <t>Toussaint</t>
  </si>
  <si>
    <t>Armistice 1918</t>
  </si>
  <si>
    <t>Noël</t>
  </si>
  <si>
    <t>Jours semaine</t>
  </si>
  <si>
    <t>Frais KM</t>
  </si>
  <si>
    <t>Date Deb</t>
  </si>
  <si>
    <t>Date Fin</t>
  </si>
  <si>
    <t>Jours</t>
  </si>
  <si>
    <t>Nb Jours Ouvr</t>
  </si>
  <si>
    <t>Nb Jrs (avec nom)</t>
  </si>
  <si>
    <t>entre le 1/5/2019 et le 31/5/2019</t>
  </si>
  <si>
    <t>10 Jours Ouvrés</t>
  </si>
  <si>
    <t>10j ouvrés à partir du 1/5/2019</t>
  </si>
  <si>
    <t xml:space="preserve">Date 1 </t>
  </si>
  <si>
    <t>CONCAT avec *</t>
  </si>
  <si>
    <t>DROITE 3 pos</t>
  </si>
  <si>
    <t>GAUCHE 3 pos</t>
  </si>
  <si>
    <t>TROUVE @</t>
  </si>
  <si>
    <t>CHERCHE @</t>
  </si>
  <si>
    <t>.myco</t>
  </si>
  <si>
    <t>cherche E7 dans B7</t>
  </si>
  <si>
    <t>Toto tartu</t>
  </si>
  <si>
    <t>minuscule</t>
  </si>
  <si>
    <t>NomPropre</t>
  </si>
  <si>
    <t>Nb caractères</t>
  </si>
  <si>
    <t>cherche @ dans le mail, puis recupère texte avant le @</t>
  </si>
  <si>
    <t>&gt;= de 500km et &gt;= de 2j</t>
  </si>
  <si>
    <t>&gt;  400km</t>
  </si>
  <si>
    <t>somme frais de + 400km</t>
  </si>
  <si>
    <t>nb missions de + 400km</t>
  </si>
  <si>
    <t>Bx="Vente*"</t>
  </si>
  <si>
    <t>Timothé Ty</t>
  </si>
  <si>
    <t>Direction</t>
  </si>
  <si>
    <t>N° de semaine du 13/1/2019</t>
  </si>
  <si>
    <t>D13 et D14 nettoyés et formatés</t>
  </si>
  <si>
    <t>Convertion texte</t>
  </si>
  <si>
    <t>12.55€</t>
  </si>
  <si>
    <t>$ 12.55</t>
  </si>
  <si>
    <t>conversion montant en $</t>
  </si>
  <si>
    <t>cnum peut convertir les nombres et dates</t>
  </si>
  <si>
    <t>1/1/2024</t>
  </si>
  <si>
    <t>Noms Jours fériés</t>
  </si>
  <si>
    <t>début dimanche (1)</t>
  </si>
  <si>
    <t>début lundi (2)</t>
  </si>
  <si>
    <t xml:space="preserve">Décaler 12 mois </t>
  </si>
  <si>
    <t>décaler cette date (B6) de 12 mois</t>
  </si>
  <si>
    <t>le 1er jour ouvré</t>
  </si>
  <si>
    <t>combien d'années depuis ce jour là (jusqu'à aujourd'hui) ?</t>
  </si>
  <si>
    <t>FRACTIO ANNEE</t>
  </si>
  <si>
    <t>même chose mais avec base réelle (1)</t>
  </si>
  <si>
    <t>Prénom.Nom</t>
  </si>
  <si>
    <t>cherche le myco juste après le @</t>
  </si>
  <si>
    <t>cherche la chaîne complète qui vient après le @ (myco.com)</t>
  </si>
  <si>
    <t>12,55</t>
  </si>
  <si>
    <t>on remplace le . par ,</t>
  </si>
  <si>
    <t>12.55</t>
  </si>
  <si>
    <t>cnum n'arrive pas avec le .</t>
  </si>
  <si>
    <t>SUBSTITUE + VALEURNOMBRE</t>
  </si>
  <si>
    <t>substituer le $ pour rien avant d'utiliser VALEURNOMBRE</t>
  </si>
  <si>
    <t>trouver le jour de la semaine de cette date</t>
  </si>
  <si>
    <t>formater date "JJ MMMM AAAA"</t>
  </si>
  <si>
    <t>SOMME.SI.ENS</t>
  </si>
  <si>
    <t>somme frais de &gt;= de 500km et &gt;= de 2j</t>
  </si>
  <si>
    <t>(le wildcard * ne marche pas avec la fonction OU)</t>
  </si>
  <si>
    <t>NB.SI</t>
  </si>
  <si>
    <t>=Vente*</t>
  </si>
  <si>
    <t>négatifs rouge</t>
  </si>
  <si>
    <t>▲▼ à la place</t>
  </si>
  <si>
    <t>avec des intervales</t>
  </si>
  <si>
    <t>€ et pas de zéro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</si>
</sst>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#,##0.00\ &quot;€&quot;_);\(#,##0.00\ &quot;€&quot;\)"/>
    <numFmt numFmtId="8" formatCode="#,##0.00\ &quot;€&quot;_);[Red]\(#,##0.00\ &quot;€&quot;\)"/>
    <numFmt numFmtId="44" formatCode="_ * #,##0.00_)\ &quot;€&quot;_ ;_ * \(#,##0.00\)\ &quot;€&quot;_ ;_ * &quot;-&quot;??_)\ &quot;€&quot;_ ;_ @_ "/>
    <numFmt numFmtId="164" formatCode="#,##0.00\ &quot;€&quot;"/>
    <numFmt numFmtId="165" formatCode="_-* #,##0.00\ [$€-40C]_-;\-* #,##0.00\ [$€-40C]_-;_-* &quot;-&quot;??\ [$€-40C]_-;_-@_-"/>
    <numFmt numFmtId="166" formatCode="0.000"/>
    <numFmt numFmtId="167" formatCode="#,###.00;[Red]#,###.00;0"/>
    <numFmt numFmtId="168" formatCode="\▲;\▼;"/>
    <numFmt numFmtId="169" formatCode="#,###.00\ &quot;€&quot;;\-#,###.00\ &quot;€&quot;;\ "/>
    <numFmt numFmtId="170" formatCode="[Blue][&gt;=2]\+####.00;[Red][&lt;=-2]\-####.00;[White]General"/>
  </numFmts>
  <fonts count="12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2" borderId="0" xfId="0" applyFont="1" applyFill="1"/>
    <xf numFmtId="14" fontId="0" fillId="0" borderId="0" xfId="0" applyNumberFormat="1"/>
    <xf numFmtId="44" fontId="0" fillId="0" borderId="0" xfId="1" applyFont="1"/>
    <xf numFmtId="2" fontId="0" fillId="0" borderId="0" xfId="0" applyNumberFormat="1"/>
    <xf numFmtId="0" fontId="3" fillId="0" borderId="0" xfId="0" applyFont="1"/>
    <xf numFmtId="0" fontId="4" fillId="3" borderId="2" xfId="0" applyFont="1" applyFill="1" applyBorder="1"/>
    <xf numFmtId="0" fontId="0" fillId="3" borderId="2" xfId="0" applyFill="1" applyBorder="1"/>
    <xf numFmtId="0" fontId="0" fillId="3" borderId="3" xfId="0" applyFill="1" applyBorder="1"/>
    <xf numFmtId="14" fontId="0" fillId="3" borderId="4" xfId="0" applyNumberFormat="1" applyFill="1" applyBorder="1"/>
    <xf numFmtId="14" fontId="0" fillId="3" borderId="5" xfId="0" applyNumberFormat="1" applyFill="1" applyBorder="1"/>
    <xf numFmtId="0" fontId="0" fillId="3" borderId="6" xfId="0" applyFill="1" applyBorder="1"/>
    <xf numFmtId="0" fontId="2" fillId="3" borderId="1" xfId="0" applyFont="1" applyFill="1" applyBorder="1"/>
    <xf numFmtId="0" fontId="5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165" fontId="0" fillId="0" borderId="0" xfId="0" applyNumberFormat="1"/>
    <xf numFmtId="10" fontId="0" fillId="0" borderId="0" xfId="2" applyNumberFormat="1" applyFont="1"/>
    <xf numFmtId="10" fontId="0" fillId="0" borderId="0" xfId="0" applyNumberFormat="1"/>
    <xf numFmtId="164" fontId="0" fillId="0" borderId="0" xfId="1" applyNumberFormat="1" applyFont="1"/>
    <xf numFmtId="8" fontId="0" fillId="0" borderId="0" xfId="0" applyNumberFormat="1"/>
    <xf numFmtId="7" fontId="0" fillId="0" borderId="0" xfId="0" applyNumberFormat="1"/>
    <xf numFmtId="8" fontId="0" fillId="4" borderId="0" xfId="0" applyNumberFormat="1" applyFill="1"/>
    <xf numFmtId="165" fontId="0" fillId="4" borderId="0" xfId="0" applyNumberFormat="1" applyFill="1"/>
    <xf numFmtId="166" fontId="0" fillId="4" borderId="0" xfId="0" applyNumberFormat="1" applyFill="1"/>
    <xf numFmtId="10" fontId="0" fillId="4" borderId="0" xfId="0" applyNumberFormat="1" applyFill="1"/>
    <xf numFmtId="0" fontId="3" fillId="5" borderId="0" xfId="0" applyFont="1" applyFill="1"/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left"/>
    </xf>
    <xf numFmtId="0" fontId="6" fillId="0" borderId="0" xfId="0" applyFont="1"/>
    <xf numFmtId="0" fontId="0" fillId="4" borderId="0" xfId="0" applyFill="1"/>
    <xf numFmtId="0" fontId="7" fillId="0" borderId="0" xfId="0" applyFont="1"/>
    <xf numFmtId="0" fontId="0" fillId="0" borderId="0" xfId="0" applyAlignment="1">
      <alignment horizontal="left"/>
    </xf>
    <xf numFmtId="0" fontId="8" fillId="6" borderId="0" xfId="0" applyFont="1" applyFill="1"/>
    <xf numFmtId="164" fontId="9" fillId="0" borderId="0" xfId="0" applyNumberFormat="1" applyFont="1"/>
    <xf numFmtId="0" fontId="9" fillId="0" borderId="0" xfId="0" applyFont="1"/>
    <xf numFmtId="14" fontId="9" fillId="0" borderId="0" xfId="0" applyNumberFormat="1" applyFont="1"/>
    <xf numFmtId="0" fontId="4" fillId="0" borderId="0" xfId="0" applyFont="1"/>
    <xf numFmtId="0" fontId="10" fillId="7" borderId="0" xfId="0" applyFont="1" applyFill="1" applyAlignment="1">
      <alignment horizontal="left" wrapText="1"/>
    </xf>
    <xf numFmtId="0" fontId="11" fillId="7" borderId="0" xfId="0" applyFont="1" applyFill="1" applyAlignment="1">
      <alignment horizontal="right" wrapText="1"/>
    </xf>
    <xf numFmtId="15" fontId="0" fillId="0" borderId="0" xfId="0" applyNumberFormat="1"/>
    <xf numFmtId="0" fontId="0" fillId="8" borderId="0" xfId="0" applyFill="1"/>
    <xf numFmtId="0" fontId="5" fillId="0" borderId="0" xfId="0" applyFont="1" applyAlignment="1">
      <alignment horizontal="right"/>
    </xf>
    <xf numFmtId="0" fontId="7" fillId="8" borderId="0" xfId="0" applyFont="1" applyFill="1"/>
    <xf numFmtId="0" fontId="5" fillId="0" borderId="0" xfId="0" quotePrefix="1" applyFont="1"/>
    <xf numFmtId="44" fontId="0" fillId="8" borderId="0" xfId="1" applyFont="1" applyFill="1"/>
    <xf numFmtId="0" fontId="8" fillId="0" borderId="0" xfId="0" applyFont="1"/>
    <xf numFmtId="0" fontId="0" fillId="8" borderId="0" xfId="0" applyFill="1" applyAlignment="1">
      <alignment horizontal="left"/>
    </xf>
    <xf numFmtId="14" fontId="0" fillId="8" borderId="0" xfId="0" applyNumberFormat="1" applyFill="1"/>
    <xf numFmtId="44" fontId="0" fillId="8" borderId="0" xfId="0" applyNumberFormat="1" applyFill="1"/>
    <xf numFmtId="14" fontId="5" fillId="0" borderId="0" xfId="0" applyNumberFormat="1" applyFont="1"/>
    <xf numFmtId="49" fontId="0" fillId="4" borderId="0" xfId="0" quotePrefix="1" applyNumberFormat="1" applyFill="1"/>
    <xf numFmtId="8" fontId="0" fillId="4" borderId="0" xfId="0" quotePrefix="1" applyNumberFormat="1" applyFill="1"/>
    <xf numFmtId="49" fontId="0" fillId="4" borderId="0" xfId="0" applyNumberFormat="1" applyFill="1"/>
    <xf numFmtId="164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tif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927100</xdr:colOff>
      <xdr:row>11</xdr:row>
      <xdr:rowOff>228600</xdr:rowOff>
    </xdr:from>
    <xdr:to>
      <xdr:col>6</xdr:col>
      <xdr:colOff>266700</xdr:colOff>
      <xdr:row>19</xdr:row>
      <xdr:rowOff>38100</xdr:rowOff>
    </xdr:to>
    <xdr:grpSp>
      <xdr:nvGrpSpPr>
        <xdr:cNvPr id="13" name="Groupe 12">
          <a:extLst>
            <a:ext uri="{FF2B5EF4-FFF2-40B4-BE49-F238E27FC236}">
              <a16:creationId xmlns:a16="http://schemas.microsoft.com/office/drawing/2014/main" id="{284FFB30-449A-F2C2-3F53-0232FD5CBB68}"/>
            </a:ext>
          </a:extLst>
        </xdr:cNvPr>
        <xdr:cNvGrpSpPr/>
      </xdr:nvGrpSpPr>
      <xdr:grpSpPr>
        <a:xfrm>
          <a:off x="4267200" y="2882900"/>
          <a:ext cx="2197100" cy="1739900"/>
          <a:chOff x="4279900" y="2184400"/>
          <a:chExt cx="2197100" cy="1739900"/>
        </a:xfrm>
      </xdr:grpSpPr>
      <xdr:pic>
        <xdr:nvPicPr>
          <xdr:cNvPr id="3" name="Image 2">
            <a:extLst>
              <a:ext uri="{FF2B5EF4-FFF2-40B4-BE49-F238E27FC236}">
                <a16:creationId xmlns:a16="http://schemas.microsoft.com/office/drawing/2014/main" id="{008E2DB1-A79E-2A35-CA52-25D25D3C88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279900" y="2184400"/>
            <a:ext cx="2197100" cy="1739900"/>
          </a:xfrm>
          <a:prstGeom prst="rect">
            <a:avLst/>
          </a:prstGeom>
        </xdr:spPr>
      </xdr:pic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DF858CE9-7B6F-EFEF-A0C9-FD1DF56A280F}"/>
              </a:ext>
            </a:extLst>
          </xdr:cNvPr>
          <xdr:cNvCxnSpPr/>
        </xdr:nvCxnSpPr>
        <xdr:spPr>
          <a:xfrm>
            <a:off x="4978400" y="2984500"/>
            <a:ext cx="292100" cy="0"/>
          </a:xfrm>
          <a:prstGeom prst="line">
            <a:avLst/>
          </a:prstGeom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8" name="Connecteur droit 7">
            <a:extLst>
              <a:ext uri="{FF2B5EF4-FFF2-40B4-BE49-F238E27FC236}">
                <a16:creationId xmlns:a16="http://schemas.microsoft.com/office/drawing/2014/main" id="{065EC91A-B8A6-6B49-B0D5-7D1BB7683337}"/>
              </a:ext>
            </a:extLst>
          </xdr:cNvPr>
          <xdr:cNvCxnSpPr/>
        </xdr:nvCxnSpPr>
        <xdr:spPr>
          <a:xfrm>
            <a:off x="5283200" y="3403600"/>
            <a:ext cx="292100" cy="0"/>
          </a:xfrm>
          <a:prstGeom prst="line">
            <a:avLst/>
          </a:prstGeom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0</xdr:colOff>
      <xdr:row>11</xdr:row>
      <xdr:rowOff>228600</xdr:rowOff>
    </xdr:from>
    <xdr:to>
      <xdr:col>3</xdr:col>
      <xdr:colOff>12700</xdr:colOff>
      <xdr:row>17</xdr:row>
      <xdr:rowOff>50800</xdr:rowOff>
    </xdr:to>
    <xdr:grpSp>
      <xdr:nvGrpSpPr>
        <xdr:cNvPr id="14" name="Groupe 13">
          <a:extLst>
            <a:ext uri="{FF2B5EF4-FFF2-40B4-BE49-F238E27FC236}">
              <a16:creationId xmlns:a16="http://schemas.microsoft.com/office/drawing/2014/main" id="{4B4A28B1-FFA4-6251-9D04-31AFA6ABD1C9}"/>
            </a:ext>
          </a:extLst>
        </xdr:cNvPr>
        <xdr:cNvGrpSpPr/>
      </xdr:nvGrpSpPr>
      <xdr:grpSpPr>
        <a:xfrm>
          <a:off x="1257300" y="2882900"/>
          <a:ext cx="2095500" cy="1270000"/>
          <a:chOff x="1270000" y="2184400"/>
          <a:chExt cx="2095500" cy="1270000"/>
        </a:xfrm>
      </xdr:grpSpPr>
      <xdr:pic>
        <xdr:nvPicPr>
          <xdr:cNvPr id="2" name="Image 1">
            <a:extLst>
              <a:ext uri="{FF2B5EF4-FFF2-40B4-BE49-F238E27FC236}">
                <a16:creationId xmlns:a16="http://schemas.microsoft.com/office/drawing/2014/main" id="{67FEF850-464A-C844-8660-C1A8AAB8D99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70000" y="2184400"/>
            <a:ext cx="2095500" cy="1270000"/>
          </a:xfrm>
          <a:prstGeom prst="rect">
            <a:avLst/>
          </a:prstGeom>
        </xdr:spPr>
      </xdr:pic>
      <xdr:cxnSp macro="">
        <xdr:nvCxnSpPr>
          <xdr:cNvPr id="9" name="Connecteur droit 8">
            <a:extLst>
              <a:ext uri="{FF2B5EF4-FFF2-40B4-BE49-F238E27FC236}">
                <a16:creationId xmlns:a16="http://schemas.microsoft.com/office/drawing/2014/main" id="{96574034-55B5-9E4F-BC44-319C0FD207B7}"/>
              </a:ext>
            </a:extLst>
          </xdr:cNvPr>
          <xdr:cNvCxnSpPr/>
        </xdr:nvCxnSpPr>
        <xdr:spPr>
          <a:xfrm>
            <a:off x="2959100" y="3225800"/>
            <a:ext cx="292100" cy="0"/>
          </a:xfrm>
          <a:prstGeom prst="line">
            <a:avLst/>
          </a:prstGeom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0</xdr:colOff>
      <xdr:row>11</xdr:row>
      <xdr:rowOff>228600</xdr:rowOff>
    </xdr:from>
    <xdr:to>
      <xdr:col>10</xdr:col>
      <xdr:colOff>330200</xdr:colOff>
      <xdr:row>18</xdr:row>
      <xdr:rowOff>215900</xdr:rowOff>
    </xdr:to>
    <xdr:grpSp>
      <xdr:nvGrpSpPr>
        <xdr:cNvPr id="12" name="Groupe 11">
          <a:extLst>
            <a:ext uri="{FF2B5EF4-FFF2-40B4-BE49-F238E27FC236}">
              <a16:creationId xmlns:a16="http://schemas.microsoft.com/office/drawing/2014/main" id="{1DE4BA30-7414-0789-232A-E9844FA47AC4}"/>
            </a:ext>
          </a:extLst>
        </xdr:cNvPr>
        <xdr:cNvGrpSpPr/>
      </xdr:nvGrpSpPr>
      <xdr:grpSpPr>
        <a:xfrm>
          <a:off x="8102600" y="2882900"/>
          <a:ext cx="2235200" cy="1676400"/>
          <a:chOff x="8115300" y="2184400"/>
          <a:chExt cx="2235200" cy="1676400"/>
        </a:xfrm>
      </xdr:grpSpPr>
      <xdr:pic>
        <xdr:nvPicPr>
          <xdr:cNvPr id="5" name="Image 4">
            <a:extLst>
              <a:ext uri="{FF2B5EF4-FFF2-40B4-BE49-F238E27FC236}">
                <a16:creationId xmlns:a16="http://schemas.microsoft.com/office/drawing/2014/main" id="{667DB603-F25E-4D28-C08F-C09E40C285A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8115300" y="2184400"/>
            <a:ext cx="2235200" cy="1676400"/>
          </a:xfrm>
          <a:prstGeom prst="rect">
            <a:avLst/>
          </a:prstGeom>
        </xdr:spPr>
      </xdr:pic>
      <xdr:cxnSp macro="">
        <xdr:nvCxnSpPr>
          <xdr:cNvPr id="10" name="Connecteur droit 9">
            <a:extLst>
              <a:ext uri="{FF2B5EF4-FFF2-40B4-BE49-F238E27FC236}">
                <a16:creationId xmlns:a16="http://schemas.microsoft.com/office/drawing/2014/main" id="{E54A31EC-DE54-E14A-B877-6BA358517A2E}"/>
              </a:ext>
            </a:extLst>
          </xdr:cNvPr>
          <xdr:cNvCxnSpPr/>
        </xdr:nvCxnSpPr>
        <xdr:spPr>
          <a:xfrm>
            <a:off x="9753600" y="3352800"/>
            <a:ext cx="292100" cy="0"/>
          </a:xfrm>
          <a:prstGeom prst="line">
            <a:avLst/>
          </a:prstGeom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1" name="Connecteur droit 10">
            <a:extLst>
              <a:ext uri="{FF2B5EF4-FFF2-40B4-BE49-F238E27FC236}">
                <a16:creationId xmlns:a16="http://schemas.microsoft.com/office/drawing/2014/main" id="{EBBBB8EA-DCA4-374B-8E3C-6C802845831B}"/>
              </a:ext>
            </a:extLst>
          </xdr:cNvPr>
          <xdr:cNvCxnSpPr/>
        </xdr:nvCxnSpPr>
        <xdr:spPr>
          <a:xfrm>
            <a:off x="8191500" y="3556000"/>
            <a:ext cx="292100" cy="0"/>
          </a:xfrm>
          <a:prstGeom prst="line">
            <a:avLst/>
          </a:prstGeom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82C98-239E-C24B-BA93-6B86202B23A7}">
  <dimension ref="A1:G4"/>
  <sheetViews>
    <sheetView tabSelected="1" workbookViewId="0">
      <selection activeCell="E1" sqref="E1"/>
    </sheetView>
  </sheetViews>
  <sheetFormatPr baseColWidth="10" defaultRowHeight="19" x14ac:dyDescent="0.25"/>
  <sheetData>
    <row r="1" spans="1:7" x14ac:dyDescent="0.25">
      <c r="A1">
        <v>3</v>
      </c>
      <c r="B1">
        <v>2</v>
      </c>
      <c r="C1">
        <f>A1+B1</f>
        <v>5</v>
      </c>
      <c r="D1">
        <v>5</v>
      </c>
      <c r="E1" s="41">
        <f>SUM(A1,D1)</f>
        <v>8</v>
      </c>
      <c r="G1" s="13" t="s">
        <v>89</v>
      </c>
    </row>
    <row r="2" spans="1:7" x14ac:dyDescent="0.25">
      <c r="A2">
        <v>6</v>
      </c>
      <c r="B2">
        <v>4</v>
      </c>
      <c r="C2">
        <f>A2+B2</f>
        <v>10</v>
      </c>
      <c r="D2">
        <v>6</v>
      </c>
      <c r="E2" s="41">
        <f t="shared" ref="E2:E3" si="0">SUM(A2,D2)</f>
        <v>12</v>
      </c>
      <c r="G2" s="13" t="s">
        <v>87</v>
      </c>
    </row>
    <row r="3" spans="1:7" x14ac:dyDescent="0.25">
      <c r="A3">
        <v>10</v>
      </c>
      <c r="B3">
        <v>2</v>
      </c>
      <c r="C3">
        <f t="shared" ref="C3" si="1">A3+B3</f>
        <v>12</v>
      </c>
      <c r="D3">
        <v>7</v>
      </c>
      <c r="E3" s="41">
        <f t="shared" si="0"/>
        <v>17</v>
      </c>
    </row>
    <row r="4" spans="1:7" x14ac:dyDescent="0.25">
      <c r="E4" s="41">
        <f>SUM(A1:D3)</f>
        <v>72</v>
      </c>
      <c r="G4" s="13" t="s"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37EF8-3D5B-964F-B973-3953F5CDD522}">
  <dimension ref="A1:E12"/>
  <sheetViews>
    <sheetView workbookViewId="0">
      <selection activeCell="D3" sqref="D3"/>
    </sheetView>
  </sheetViews>
  <sheetFormatPr baseColWidth="10" defaultRowHeight="19" x14ac:dyDescent="0.25"/>
  <cols>
    <col min="2" max="2" width="16.5703125" customWidth="1"/>
    <col min="3" max="3" width="13.42578125" customWidth="1"/>
  </cols>
  <sheetData>
    <row r="1" spans="1:5" x14ac:dyDescent="0.25">
      <c r="B1" s="38" t="s">
        <v>140</v>
      </c>
      <c r="C1" s="38" t="s">
        <v>102</v>
      </c>
      <c r="D1" s="39" t="s">
        <v>90</v>
      </c>
      <c r="E1">
        <v>2024</v>
      </c>
    </row>
    <row r="2" spans="1:5" x14ac:dyDescent="0.25">
      <c r="A2" s="40">
        <v>45292</v>
      </c>
      <c r="B2" t="s">
        <v>91</v>
      </c>
      <c r="C2" t="str">
        <f>TEXT(A2,"jjjj")</f>
        <v>lundi</v>
      </c>
    </row>
    <row r="3" spans="1:5" x14ac:dyDescent="0.25">
      <c r="A3" s="40">
        <v>45383</v>
      </c>
      <c r="B3" t="s">
        <v>92</v>
      </c>
      <c r="C3" t="str">
        <f t="shared" ref="C3:C12" si="0">TEXT(A3,"jjjj")</f>
        <v>lundi</v>
      </c>
    </row>
    <row r="4" spans="1:5" x14ac:dyDescent="0.25">
      <c r="A4" s="40">
        <v>45413</v>
      </c>
      <c r="B4" t="s">
        <v>93</v>
      </c>
      <c r="C4" t="str">
        <f t="shared" si="0"/>
        <v>mercredi</v>
      </c>
    </row>
    <row r="5" spans="1:5" x14ac:dyDescent="0.25">
      <c r="A5" s="40">
        <v>45420</v>
      </c>
      <c r="B5" t="s">
        <v>94</v>
      </c>
      <c r="C5" t="str">
        <f t="shared" si="0"/>
        <v>mercredi</v>
      </c>
    </row>
    <row r="6" spans="1:5" x14ac:dyDescent="0.25">
      <c r="A6" s="40">
        <v>45421</v>
      </c>
      <c r="B6" t="s">
        <v>95</v>
      </c>
      <c r="C6" t="str">
        <f t="shared" si="0"/>
        <v>jeudi</v>
      </c>
    </row>
    <row r="7" spans="1:5" x14ac:dyDescent="0.25">
      <c r="A7" s="40">
        <v>45432</v>
      </c>
      <c r="B7" t="s">
        <v>96</v>
      </c>
      <c r="C7" t="str">
        <f t="shared" si="0"/>
        <v>lundi</v>
      </c>
    </row>
    <row r="8" spans="1:5" x14ac:dyDescent="0.25">
      <c r="A8" s="40">
        <v>45487</v>
      </c>
      <c r="B8" t="s">
        <v>97</v>
      </c>
      <c r="C8" t="str">
        <f t="shared" si="0"/>
        <v>dimanche</v>
      </c>
    </row>
    <row r="9" spans="1:5" x14ac:dyDescent="0.25">
      <c r="A9" s="40">
        <v>45519</v>
      </c>
      <c r="B9" t="s">
        <v>98</v>
      </c>
      <c r="C9" t="str">
        <f t="shared" si="0"/>
        <v>jeudi</v>
      </c>
    </row>
    <row r="10" spans="1:5" x14ac:dyDescent="0.25">
      <c r="A10" s="40">
        <v>45597</v>
      </c>
      <c r="B10" t="s">
        <v>99</v>
      </c>
      <c r="C10" t="str">
        <f t="shared" si="0"/>
        <v>vendredi</v>
      </c>
    </row>
    <row r="11" spans="1:5" x14ac:dyDescent="0.25">
      <c r="A11" s="40">
        <v>45607</v>
      </c>
      <c r="B11" t="s">
        <v>100</v>
      </c>
      <c r="C11" t="str">
        <f t="shared" si="0"/>
        <v>lundi</v>
      </c>
    </row>
    <row r="12" spans="1:5" x14ac:dyDescent="0.25">
      <c r="A12" s="40">
        <v>45651</v>
      </c>
      <c r="B12" t="s">
        <v>101</v>
      </c>
      <c r="C12" t="str">
        <f t="shared" si="0"/>
        <v>mercredi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82EC7-16C0-6D47-B962-F5D7DEFA966E}">
  <dimension ref="A1:K6"/>
  <sheetViews>
    <sheetView workbookViewId="0">
      <selection activeCell="K4" sqref="K4"/>
    </sheetView>
  </sheetViews>
  <sheetFormatPr baseColWidth="10" defaultRowHeight="19" x14ac:dyDescent="0.25"/>
  <cols>
    <col min="5" max="5" width="11" bestFit="1" customWidth="1"/>
    <col min="6" max="6" width="13.85546875" customWidth="1"/>
    <col min="10" max="10" width="11.42578125" customWidth="1"/>
    <col min="11" max="11" width="14.140625" customWidth="1"/>
  </cols>
  <sheetData>
    <row r="1" spans="1:11" x14ac:dyDescent="0.25">
      <c r="A1" s="1" t="s">
        <v>0</v>
      </c>
      <c r="B1" s="3">
        <v>1.65</v>
      </c>
      <c r="C1" s="5"/>
      <c r="D1" s="54"/>
    </row>
    <row r="2" spans="1:11" x14ac:dyDescent="0.25">
      <c r="A2" s="1" t="s">
        <v>2</v>
      </c>
      <c r="B2" s="1" t="s">
        <v>3</v>
      </c>
      <c r="C2" s="1" t="s">
        <v>6</v>
      </c>
      <c r="D2" s="1" t="s">
        <v>7</v>
      </c>
      <c r="E2" s="1" t="s">
        <v>103</v>
      </c>
      <c r="F2" s="1" t="s">
        <v>14</v>
      </c>
      <c r="G2" s="1" t="s">
        <v>104</v>
      </c>
      <c r="H2" s="1" t="s">
        <v>105</v>
      </c>
      <c r="I2" s="1" t="s">
        <v>106</v>
      </c>
      <c r="J2" s="1" t="s">
        <v>107</v>
      </c>
      <c r="K2" s="1" t="s">
        <v>108</v>
      </c>
    </row>
    <row r="3" spans="1:11" x14ac:dyDescent="0.25">
      <c r="A3" t="s">
        <v>8</v>
      </c>
      <c r="B3" t="s">
        <v>9</v>
      </c>
      <c r="C3">
        <v>7532</v>
      </c>
      <c r="D3">
        <v>10432</v>
      </c>
      <c r="E3" s="49">
        <f>(D3-C3)*$B$1</f>
        <v>4785</v>
      </c>
      <c r="F3" s="45">
        <f>(D3-C3)*PrixKM</f>
        <v>4785</v>
      </c>
      <c r="G3" s="2">
        <v>45422</v>
      </c>
      <c r="H3" s="2">
        <v>45432</v>
      </c>
      <c r="I3" s="41">
        <f>_xlfn.DAYS(H3,G3)</f>
        <v>10</v>
      </c>
      <c r="J3" s="41">
        <f>NETWORKDAYS(G3,H3,JoursFériés!$A:$A)</f>
        <v>6</v>
      </c>
      <c r="K3" s="41">
        <f>NETWORKDAYS(G3,H3,JoursFeries)</f>
        <v>6</v>
      </c>
    </row>
    <row r="4" spans="1:11" x14ac:dyDescent="0.25">
      <c r="A4" t="s">
        <v>10</v>
      </c>
      <c r="B4" t="s">
        <v>11</v>
      </c>
      <c r="C4">
        <v>11230</v>
      </c>
      <c r="D4">
        <v>11580</v>
      </c>
      <c r="E4" s="49">
        <f t="shared" ref="E4:E6" si="0">(D4-C4)*$B$1</f>
        <v>577.5</v>
      </c>
      <c r="F4" s="45">
        <f>(D4-C4)*PrixKM</f>
        <v>577.5</v>
      </c>
      <c r="G4" s="2">
        <v>45445</v>
      </c>
      <c r="H4" s="2">
        <v>45445</v>
      </c>
      <c r="I4" s="41">
        <f t="shared" ref="I4:I6" si="1">_xlfn.DAYS(H4,G4)</f>
        <v>0</v>
      </c>
      <c r="J4" s="41">
        <f>NETWORKDAYS(G4,H4,JoursFériés!$A:$A)</f>
        <v>0</v>
      </c>
      <c r="K4" s="41">
        <f>NETWORKDAYS(G4,H4,JoursFeries)</f>
        <v>0</v>
      </c>
    </row>
    <row r="5" spans="1:11" x14ac:dyDescent="0.25">
      <c r="A5" t="s">
        <v>12</v>
      </c>
      <c r="B5" t="s">
        <v>13</v>
      </c>
      <c r="C5">
        <v>12100</v>
      </c>
      <c r="D5">
        <v>12520</v>
      </c>
      <c r="E5" s="49">
        <f t="shared" si="0"/>
        <v>693</v>
      </c>
      <c r="F5" s="45">
        <f>(D5-C5)*PrixKM</f>
        <v>693</v>
      </c>
      <c r="G5" s="2">
        <v>45483</v>
      </c>
      <c r="H5" s="2">
        <v>45488</v>
      </c>
      <c r="I5" s="41">
        <f t="shared" si="1"/>
        <v>5</v>
      </c>
      <c r="J5" s="41">
        <f>NETWORKDAYS(G5,H5,JoursFériés!$A:$A)</f>
        <v>4</v>
      </c>
      <c r="K5" s="41">
        <f>NETWORKDAYS(G5,H5,JoursFeries)</f>
        <v>4</v>
      </c>
    </row>
    <row r="6" spans="1:11" x14ac:dyDescent="0.25">
      <c r="A6" t="s">
        <v>130</v>
      </c>
      <c r="B6" t="s">
        <v>131</v>
      </c>
      <c r="C6">
        <v>13415</v>
      </c>
      <c r="D6">
        <v>13920</v>
      </c>
      <c r="E6" s="49">
        <f t="shared" si="0"/>
        <v>833.25</v>
      </c>
      <c r="F6" s="45">
        <f>(D6-C6)*PrixKM</f>
        <v>833.25</v>
      </c>
      <c r="G6" s="2">
        <v>45606</v>
      </c>
      <c r="H6" s="2">
        <v>45609</v>
      </c>
      <c r="I6" s="41">
        <f t="shared" si="1"/>
        <v>3</v>
      </c>
      <c r="J6" s="41">
        <f>NETWORKDAYS(G6,H6,JoursFériés!$A:$A)</f>
        <v>2</v>
      </c>
      <c r="K6" s="41">
        <f>NETWORKDAYS(G6,H6,JoursFeries)</f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26FEE-0B61-DB42-9397-42E65D2E2772}">
  <dimension ref="A1:E9"/>
  <sheetViews>
    <sheetView workbookViewId="0">
      <selection activeCell="E9" sqref="E9"/>
    </sheetView>
  </sheetViews>
  <sheetFormatPr baseColWidth="10" defaultRowHeight="19" x14ac:dyDescent="0.25"/>
  <sheetData>
    <row r="1" spans="1:5" x14ac:dyDescent="0.25">
      <c r="A1">
        <v>2</v>
      </c>
      <c r="B1">
        <v>4</v>
      </c>
      <c r="C1">
        <v>8</v>
      </c>
      <c r="D1">
        <v>16</v>
      </c>
      <c r="E1">
        <v>32</v>
      </c>
    </row>
    <row r="2" spans="1:5" x14ac:dyDescent="0.25">
      <c r="A2">
        <v>4</v>
      </c>
      <c r="B2">
        <v>5</v>
      </c>
      <c r="C2">
        <v>12</v>
      </c>
      <c r="D2">
        <v>24</v>
      </c>
      <c r="E2">
        <v>48</v>
      </c>
    </row>
    <row r="3" spans="1:5" x14ac:dyDescent="0.25">
      <c r="A3">
        <v>6</v>
      </c>
      <c r="B3">
        <v>6.25</v>
      </c>
      <c r="C3">
        <v>18</v>
      </c>
      <c r="D3">
        <v>36</v>
      </c>
      <c r="E3">
        <v>72</v>
      </c>
    </row>
    <row r="4" spans="1:5" x14ac:dyDescent="0.25">
      <c r="A4">
        <v>8</v>
      </c>
      <c r="B4">
        <v>7.65</v>
      </c>
      <c r="C4">
        <v>27</v>
      </c>
      <c r="D4">
        <v>54</v>
      </c>
      <c r="E4">
        <v>108</v>
      </c>
    </row>
    <row r="5" spans="1:5" x14ac:dyDescent="0.25">
      <c r="B5">
        <f>SUM(B1:B4)</f>
        <v>22.9</v>
      </c>
    </row>
    <row r="6" spans="1:5" x14ac:dyDescent="0.25">
      <c r="A6" t="s">
        <v>15</v>
      </c>
      <c r="B6" s="41">
        <f>STDEV(A1:E4)</f>
        <v>27.476654684141934</v>
      </c>
    </row>
    <row r="7" spans="1:5" x14ac:dyDescent="0.25">
      <c r="A7" t="s">
        <v>16</v>
      </c>
      <c r="B7" s="41">
        <f>STDEVP(A1:E4)</f>
        <v>26.780930248966335</v>
      </c>
    </row>
    <row r="8" spans="1:5" x14ac:dyDescent="0.25">
      <c r="A8" t="s">
        <v>17</v>
      </c>
      <c r="B8" s="41">
        <f>ROUND(B7,2)</f>
        <v>26.78</v>
      </c>
    </row>
    <row r="9" spans="1:5" x14ac:dyDescent="0.25">
      <c r="A9" t="s">
        <v>18</v>
      </c>
      <c r="B9" s="41">
        <f>AVERAGE(A1:E4)</f>
        <v>24.895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5B703-6C8E-E142-B1CE-62CEF79AA543}">
  <dimension ref="A1:E10"/>
  <sheetViews>
    <sheetView workbookViewId="0">
      <selection activeCell="E5" sqref="E5"/>
    </sheetView>
  </sheetViews>
  <sheetFormatPr baseColWidth="10" defaultRowHeight="19" x14ac:dyDescent="0.25"/>
  <cols>
    <col min="2" max="2" width="12.7109375" customWidth="1"/>
    <col min="3" max="3" width="13.5703125" customWidth="1"/>
    <col min="4" max="4" width="12.7109375" customWidth="1"/>
    <col min="5" max="5" width="15.7109375" customWidth="1"/>
  </cols>
  <sheetData>
    <row r="1" spans="1:5" x14ac:dyDescent="0.25">
      <c r="B1" s="5" t="s">
        <v>27</v>
      </c>
      <c r="C1" s="5" t="s">
        <v>28</v>
      </c>
      <c r="D1" s="5" t="s">
        <v>29</v>
      </c>
      <c r="E1" s="5" t="s">
        <v>30</v>
      </c>
    </row>
    <row r="2" spans="1:5" x14ac:dyDescent="0.25">
      <c r="A2" s="5" t="s">
        <v>31</v>
      </c>
      <c r="B2" s="16">
        <v>180000</v>
      </c>
      <c r="C2" s="23">
        <f>ABS(PV(C3/12,C4*12,C5))</f>
        <v>174759.95879136238</v>
      </c>
      <c r="D2" s="3">
        <v>180000</v>
      </c>
      <c r="E2" s="3">
        <v>180000</v>
      </c>
    </row>
    <row r="3" spans="1:5" x14ac:dyDescent="0.25">
      <c r="A3" s="5" t="s">
        <v>32</v>
      </c>
      <c r="B3" s="17">
        <v>1.2E-2</v>
      </c>
      <c r="C3" s="18">
        <v>1.2E-2</v>
      </c>
      <c r="D3" s="18">
        <v>1.2E-2</v>
      </c>
      <c r="E3" s="25">
        <f>RATE(E4,-E5*12,E2)</f>
        <v>8.2299977667530232E-3</v>
      </c>
    </row>
    <row r="4" spans="1:5" x14ac:dyDescent="0.25">
      <c r="A4" s="5" t="s">
        <v>33</v>
      </c>
      <c r="B4">
        <v>18</v>
      </c>
      <c r="C4">
        <v>18</v>
      </c>
      <c r="D4" s="24">
        <f>-NPER(D3,D5*12,D2)</f>
        <v>15.284442608688776</v>
      </c>
      <c r="E4">
        <v>18</v>
      </c>
    </row>
    <row r="5" spans="1:5" x14ac:dyDescent="0.25">
      <c r="A5" s="5" t="s">
        <v>34</v>
      </c>
      <c r="B5" s="22">
        <f>-PMT(B3/12,B4*12,B2)</f>
        <v>926.98579880866384</v>
      </c>
      <c r="C5" s="3">
        <v>900</v>
      </c>
      <c r="D5" s="3">
        <v>900</v>
      </c>
      <c r="E5" s="19">
        <v>900</v>
      </c>
    </row>
    <row r="6" spans="1:5" x14ac:dyDescent="0.25">
      <c r="A6" s="5" t="s">
        <v>35</v>
      </c>
      <c r="B6" s="22">
        <f>-PMT(B3,B4,B2)</f>
        <v>11178.499620322718</v>
      </c>
      <c r="C6" s="20"/>
      <c r="D6" s="20"/>
      <c r="E6" s="20"/>
    </row>
    <row r="7" spans="1:5" x14ac:dyDescent="0.25">
      <c r="B7" s="21">
        <f>B5*12</f>
        <v>11123.829585703967</v>
      </c>
      <c r="C7" s="21"/>
      <c r="D7" s="21"/>
      <c r="E7" s="21"/>
    </row>
    <row r="8" spans="1:5" x14ac:dyDescent="0.25">
      <c r="A8" s="5" t="s">
        <v>36</v>
      </c>
      <c r="B8" s="13" t="s">
        <v>37</v>
      </c>
    </row>
    <row r="9" spans="1:5" x14ac:dyDescent="0.25">
      <c r="B9" s="13" t="s">
        <v>38</v>
      </c>
    </row>
    <row r="10" spans="1:5" x14ac:dyDescent="0.25">
      <c r="B10" s="13" t="s">
        <v>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DA9DD-BB2E-0F4C-9F1E-47B909CA4443}">
  <dimension ref="A1:L25"/>
  <sheetViews>
    <sheetView workbookViewId="0">
      <selection activeCell="G22" sqref="G22"/>
    </sheetView>
  </sheetViews>
  <sheetFormatPr baseColWidth="10" defaultRowHeight="19" x14ac:dyDescent="0.25"/>
  <cols>
    <col min="2" max="2" width="15.42578125" customWidth="1"/>
    <col min="3" max="3" width="21" customWidth="1"/>
    <col min="4" max="4" width="14.28515625" customWidth="1"/>
    <col min="5" max="5" width="13.5703125" customWidth="1"/>
    <col min="7" max="7" width="11.28515625" customWidth="1"/>
    <col min="8" max="8" width="14.140625" customWidth="1"/>
    <col min="11" max="11" width="15.42578125" customWidth="1"/>
  </cols>
  <sheetData>
    <row r="1" spans="1:12" x14ac:dyDescent="0.25">
      <c r="A1" s="26" t="s">
        <v>40</v>
      </c>
      <c r="B1" s="27" t="s">
        <v>2</v>
      </c>
      <c r="C1" s="27" t="s">
        <v>41</v>
      </c>
      <c r="D1" s="13" t="s">
        <v>118</v>
      </c>
      <c r="E1" s="27" t="s">
        <v>52</v>
      </c>
      <c r="F1" s="27" t="s">
        <v>42</v>
      </c>
      <c r="G1" s="27" t="s">
        <v>114</v>
      </c>
      <c r="H1" s="27" t="s">
        <v>115</v>
      </c>
      <c r="I1" s="28" t="s">
        <v>116</v>
      </c>
      <c r="J1" s="28" t="s">
        <v>117</v>
      </c>
      <c r="K1" s="28" t="s">
        <v>45</v>
      </c>
    </row>
    <row r="2" spans="1:12" x14ac:dyDescent="0.25">
      <c r="A2" t="s">
        <v>46</v>
      </c>
      <c r="B2" s="15" t="s">
        <v>54</v>
      </c>
      <c r="C2" s="41" t="str">
        <f>_xlfn.CONCAT(A2,".",B2,"@myco.com")</f>
        <v>Toto.tartu@myco.com</v>
      </c>
      <c r="D2" s="42" t="s">
        <v>149</v>
      </c>
      <c r="E2" s="41" t="str">
        <f>_xlfn.TEXTJOIN(".",TRUE,A2:B2)</f>
        <v>Toto.tartu</v>
      </c>
      <c r="F2" s="41" t="str">
        <f>A2 &amp; "." &amp; B2</f>
        <v>Toto.tartu</v>
      </c>
      <c r="G2" s="41" t="str">
        <f>RIGHT(C2,3)</f>
        <v>com</v>
      </c>
      <c r="H2" s="41" t="str">
        <f>LEFT(C2,3)</f>
        <v>Tot</v>
      </c>
      <c r="I2" s="41">
        <f>FIND("@",C2,1)</f>
        <v>11</v>
      </c>
      <c r="J2" s="41">
        <f>SEARCH("@",C2)</f>
        <v>11</v>
      </c>
      <c r="K2" s="41" t="str">
        <f>LEFT(C2,SEARCH("@",C2) - 1)</f>
        <v>Toto.tartu</v>
      </c>
    </row>
    <row r="3" spans="1:12" x14ac:dyDescent="0.25">
      <c r="A3" t="s">
        <v>48</v>
      </c>
      <c r="B3" s="15" t="s">
        <v>49</v>
      </c>
      <c r="C3" s="41" t="str">
        <f t="shared" ref="C3:C7" si="0">_xlfn.CONCAT(A3,".",B3,"@myco.com")</f>
        <v>Titi.Tarti@myco.com</v>
      </c>
      <c r="E3" s="27" t="s">
        <v>63</v>
      </c>
      <c r="H3" s="27" t="s">
        <v>64</v>
      </c>
      <c r="J3" s="13" t="s">
        <v>124</v>
      </c>
    </row>
    <row r="4" spans="1:12" x14ac:dyDescent="0.25">
      <c r="A4" t="s">
        <v>50</v>
      </c>
      <c r="B4" s="15" t="s">
        <v>47</v>
      </c>
      <c r="C4" s="41" t="str">
        <f t="shared" si="0"/>
        <v>Tata.Tartu@myco.com</v>
      </c>
      <c r="E4" s="41" t="str">
        <f>MID(C4,11,5)</f>
        <v>@myco</v>
      </c>
      <c r="H4" s="41" t="str">
        <f>MID(C4,SEARCH("@",C4)+1,4)</f>
        <v>myco</v>
      </c>
      <c r="I4" s="13" t="s">
        <v>150</v>
      </c>
    </row>
    <row r="5" spans="1:12" x14ac:dyDescent="0.25">
      <c r="A5" t="s">
        <v>46</v>
      </c>
      <c r="B5" s="15" t="s">
        <v>49</v>
      </c>
      <c r="C5" s="41" t="str">
        <f t="shared" si="0"/>
        <v>Toto.Tarti@myco.com</v>
      </c>
      <c r="H5" s="41" t="str">
        <f>MID(C4,SEARCH("@",C4)+1,LEN(C4)-SEARCH("@",C4))</f>
        <v>myco.com</v>
      </c>
      <c r="I5" s="13" t="s">
        <v>151</v>
      </c>
    </row>
    <row r="6" spans="1:12" x14ac:dyDescent="0.25">
      <c r="A6" t="s">
        <v>48</v>
      </c>
      <c r="B6" s="15" t="s">
        <v>47</v>
      </c>
      <c r="C6" s="41" t="str">
        <f t="shared" si="0"/>
        <v>Titi.Tartu@myco.com</v>
      </c>
      <c r="E6" s="29" t="s">
        <v>51</v>
      </c>
    </row>
    <row r="7" spans="1:12" x14ac:dyDescent="0.25">
      <c r="A7" t="s">
        <v>50</v>
      </c>
      <c r="B7" s="15" t="s">
        <v>47</v>
      </c>
      <c r="C7" s="41" t="str">
        <f t="shared" si="0"/>
        <v>Tata.Tartu@myco.com</v>
      </c>
      <c r="E7" t="s">
        <v>54</v>
      </c>
      <c r="F7" s="5" t="s">
        <v>43</v>
      </c>
      <c r="G7" s="41" t="e">
        <f>FIND(E7,B7)</f>
        <v>#VALUE!</v>
      </c>
      <c r="H7" s="5" t="s">
        <v>44</v>
      </c>
      <c r="I7" s="41">
        <f>SEARCH(E7,B7)</f>
        <v>1</v>
      </c>
      <c r="J7" s="13" t="s">
        <v>119</v>
      </c>
    </row>
    <row r="9" spans="1:12" x14ac:dyDescent="0.25">
      <c r="E9" s="27" t="s">
        <v>53</v>
      </c>
      <c r="F9" s="27" t="s">
        <v>121</v>
      </c>
      <c r="G9" s="27" t="s">
        <v>122</v>
      </c>
      <c r="H9" s="27" t="s">
        <v>123</v>
      </c>
    </row>
    <row r="10" spans="1:12" x14ac:dyDescent="0.25">
      <c r="D10" t="s">
        <v>120</v>
      </c>
      <c r="E10" s="41" t="str">
        <f>UPPER(D10)</f>
        <v>TOTO TARTU</v>
      </c>
      <c r="F10" s="41" t="str">
        <f>LOWER(D10)</f>
        <v>toto tartu</v>
      </c>
      <c r="G10" s="41" t="str">
        <f>PROPER(D10)</f>
        <v>Toto Tartu</v>
      </c>
      <c r="H10" s="41">
        <f>LEN(D10)</f>
        <v>10</v>
      </c>
    </row>
    <row r="12" spans="1:12" x14ac:dyDescent="0.25">
      <c r="A12" s="28" t="s">
        <v>56</v>
      </c>
      <c r="E12" s="27" t="s">
        <v>113</v>
      </c>
      <c r="F12" s="27" t="s">
        <v>60</v>
      </c>
      <c r="G12" s="27" t="s">
        <v>57</v>
      </c>
      <c r="H12" s="27" t="s">
        <v>113</v>
      </c>
      <c r="I12" s="27" t="s">
        <v>60</v>
      </c>
      <c r="J12" s="27" t="s">
        <v>58</v>
      </c>
      <c r="K12" s="27" t="s">
        <v>113</v>
      </c>
      <c r="L12" s="27" t="s">
        <v>60</v>
      </c>
    </row>
    <row r="13" spans="1:12" x14ac:dyDescent="0.25">
      <c r="A13" s="13" t="s">
        <v>62</v>
      </c>
      <c r="D13" s="30" t="s">
        <v>55</v>
      </c>
      <c r="E13" s="41" t="str">
        <f>_xlfn.CONCAT("*",D13,"*")</f>
        <v>*  toto   tartu  *</v>
      </c>
      <c r="F13" s="43">
        <f>LEN(D13)</f>
        <v>16</v>
      </c>
      <c r="G13" s="30" t="str">
        <f>TRIM(D13)</f>
        <v>toto tartu</v>
      </c>
      <c r="H13" s="41" t="str">
        <f>_xlfn.CONCAT("*",G13,"*")</f>
        <v>*toto tartu*</v>
      </c>
      <c r="I13" s="43">
        <f>LEN(G13)</f>
        <v>10</v>
      </c>
      <c r="J13" s="30" t="str">
        <f>CLEAN(D13)</f>
        <v xml:space="preserve">  toto   tartu  </v>
      </c>
      <c r="K13" s="41" t="str">
        <f>_xlfn.CONCAT("*",J13,"*")</f>
        <v>*  toto   tartu  *</v>
      </c>
      <c r="L13" s="43">
        <f>LEN(J13)</f>
        <v>16</v>
      </c>
    </row>
    <row r="14" spans="1:12" x14ac:dyDescent="0.25">
      <c r="A14" s="13" t="s">
        <v>61</v>
      </c>
      <c r="D14" s="30" t="str">
        <f>_xlfn.UNICHAR(9) &amp; "toto" &amp; _xlfn.UNICHAR(13)</f>
        <v xml:space="preserve">	toto_x000D_</v>
      </c>
      <c r="E14" s="41" t="str">
        <f>_xlfn.CONCAT("*",D14,"*")</f>
        <v>*	toto_x000D_*</v>
      </c>
      <c r="F14" s="43">
        <f>LEN(D14)</f>
        <v>6</v>
      </c>
      <c r="G14" s="30" t="str">
        <f>TRIM(D14)</f>
        <v xml:space="preserve">	toto_x000D_</v>
      </c>
      <c r="H14" s="41" t="str">
        <f>_xlfn.CONCAT("*",G14,"*")</f>
        <v>*	toto_x000D_*</v>
      </c>
      <c r="I14" s="43">
        <f>LEN(G14)</f>
        <v>6</v>
      </c>
      <c r="J14" s="30" t="str">
        <f>CLEAN(D14)</f>
        <v>toto</v>
      </c>
      <c r="K14" s="41" t="str">
        <f>_xlfn.CONCAT("*",J14,"*")</f>
        <v>*toto*</v>
      </c>
      <c r="L14" s="43">
        <f>LEN(J14)</f>
        <v>4</v>
      </c>
    </row>
    <row r="16" spans="1:12" x14ac:dyDescent="0.25">
      <c r="A16" s="13" t="s">
        <v>81</v>
      </c>
      <c r="D16" s="41" t="str">
        <f>TRIM(CLEAN(D13))</f>
        <v>toto tartu</v>
      </c>
      <c r="E16" s="13" t="s">
        <v>133</v>
      </c>
      <c r="F16" s="31"/>
    </row>
    <row r="17" spans="1:9" x14ac:dyDescent="0.25">
      <c r="A17" s="13" t="s">
        <v>59</v>
      </c>
      <c r="D17" s="41" t="str">
        <f>TRIM(CLEAN(D14))</f>
        <v>toto</v>
      </c>
      <c r="E17" s="31">
        <f>LEN(D17)</f>
        <v>4</v>
      </c>
      <c r="F17" s="31">
        <f>LEN(D16)</f>
        <v>10</v>
      </c>
    </row>
    <row r="19" spans="1:9" x14ac:dyDescent="0.25">
      <c r="A19" s="28" t="s">
        <v>134</v>
      </c>
    </row>
    <row r="20" spans="1:9" x14ac:dyDescent="0.25">
      <c r="A20" s="30" t="s">
        <v>135</v>
      </c>
      <c r="B20" s="41" t="str">
        <f>SUBSTITUTE(A20,".",",")</f>
        <v>12,55€</v>
      </c>
      <c r="C20" s="13" t="s">
        <v>153</v>
      </c>
      <c r="F20" s="53" t="s">
        <v>154</v>
      </c>
      <c r="G20" s="41">
        <f>_xlfn.NUMBERVALUE(F20,".")</f>
        <v>12.55</v>
      </c>
      <c r="I20" s="13" t="s">
        <v>137</v>
      </c>
    </row>
    <row r="21" spans="1:9" x14ac:dyDescent="0.25">
      <c r="A21" s="52" t="s">
        <v>135</v>
      </c>
      <c r="B21" s="41" t="e">
        <f>VALUE(A21)</f>
        <v>#VALUE!</v>
      </c>
      <c r="C21" s="13" t="s">
        <v>155</v>
      </c>
      <c r="F21" s="30" t="s">
        <v>136</v>
      </c>
      <c r="G21" s="41" t="e">
        <f>_xlfn.NUMBERVALUE(F21,".")</f>
        <v>#VALUE!</v>
      </c>
      <c r="I21" s="13" t="s">
        <v>157</v>
      </c>
    </row>
    <row r="22" spans="1:9" x14ac:dyDescent="0.25">
      <c r="A22" s="51" t="s">
        <v>152</v>
      </c>
      <c r="B22" s="41">
        <f>VALUE(A22)</f>
        <v>12.55</v>
      </c>
      <c r="C22" s="13" t="s">
        <v>138</v>
      </c>
      <c r="F22" s="30" t="s">
        <v>136</v>
      </c>
      <c r="G22" s="41">
        <f>_xlfn.NUMBERVALUE(SUBSTITUTE(F22,"$",""),".")</f>
        <v>12.55</v>
      </c>
      <c r="I22" t="s">
        <v>156</v>
      </c>
    </row>
    <row r="23" spans="1:9" x14ac:dyDescent="0.25">
      <c r="A23" s="51" t="s">
        <v>139</v>
      </c>
      <c r="B23" s="48">
        <f>VALUE(A23)</f>
        <v>45292</v>
      </c>
    </row>
    <row r="24" spans="1:9" x14ac:dyDescent="0.25">
      <c r="B24" s="41" t="str">
        <f>TEXT(B23,"JJJJ")</f>
        <v>lundi</v>
      </c>
      <c r="C24" s="13" t="s">
        <v>158</v>
      </c>
      <c r="F24" s="2"/>
    </row>
    <row r="25" spans="1:9" x14ac:dyDescent="0.25">
      <c r="B25" s="41" t="str">
        <f>TEXT(B23,"JJ MMMM AAAA")</f>
        <v>01 janvier 2024</v>
      </c>
      <c r="C25" s="13" t="s">
        <v>159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CDF24-6E7A-244C-9B00-4FF82437295F}">
  <dimension ref="A1:K10"/>
  <sheetViews>
    <sheetView workbookViewId="0">
      <selection activeCell="J10" sqref="J10"/>
    </sheetView>
  </sheetViews>
  <sheetFormatPr baseColWidth="10" defaultRowHeight="19" x14ac:dyDescent="0.25"/>
  <cols>
    <col min="1" max="1" width="14.140625" customWidth="1"/>
    <col min="3" max="3" width="12.7109375" customWidth="1"/>
  </cols>
  <sheetData>
    <row r="1" spans="1:11" x14ac:dyDescent="0.25">
      <c r="A1" s="14" t="s">
        <v>19</v>
      </c>
      <c r="B1" s="48">
        <f ca="1">TODAY()</f>
        <v>45902</v>
      </c>
      <c r="C1" s="4"/>
      <c r="E1" s="13" t="s">
        <v>26</v>
      </c>
    </row>
    <row r="2" spans="1:11" x14ac:dyDescent="0.25">
      <c r="A2" s="14" t="s">
        <v>20</v>
      </c>
      <c r="B2" s="48">
        <f>DATE(1900,1,1)</f>
        <v>1</v>
      </c>
      <c r="C2" s="2"/>
      <c r="E2" s="13" t="s">
        <v>112</v>
      </c>
    </row>
    <row r="3" spans="1:11" x14ac:dyDescent="0.25">
      <c r="A3" s="14" t="s">
        <v>21</v>
      </c>
      <c r="B3" s="41">
        <f>_xlfn.DAYS("31/5/2019","1/5/2019")</f>
        <v>30</v>
      </c>
      <c r="E3" s="13" t="s">
        <v>109</v>
      </c>
    </row>
    <row r="4" spans="1:11" x14ac:dyDescent="0.25">
      <c r="A4" s="14" t="s">
        <v>22</v>
      </c>
      <c r="B4" s="41">
        <f>NETWORKDAYS("1/5/2019","31/5/2019",H8:K8)</f>
        <v>20</v>
      </c>
      <c r="E4" s="13" t="s">
        <v>109</v>
      </c>
    </row>
    <row r="5" spans="1:11" x14ac:dyDescent="0.25">
      <c r="A5" s="14" t="s">
        <v>23</v>
      </c>
      <c r="B5" s="41">
        <f>WEEKNUM("13/1/2019",2)</f>
        <v>2</v>
      </c>
      <c r="C5" s="13" t="s">
        <v>142</v>
      </c>
      <c r="D5" s="41">
        <f>WEEKNUM("13/1/2019",1)</f>
        <v>3</v>
      </c>
      <c r="E5" s="13" t="s">
        <v>141</v>
      </c>
      <c r="G5" s="13" t="s">
        <v>132</v>
      </c>
    </row>
    <row r="6" spans="1:11" x14ac:dyDescent="0.25">
      <c r="A6" s="14" t="s">
        <v>110</v>
      </c>
      <c r="B6" s="48">
        <f>WORKDAY("1/5/2019",10,H8:K8)</f>
        <v>43601</v>
      </c>
      <c r="C6" s="13" t="s">
        <v>111</v>
      </c>
    </row>
    <row r="7" spans="1:11" x14ac:dyDescent="0.25">
      <c r="A7" s="14" t="s">
        <v>143</v>
      </c>
      <c r="B7" s="48">
        <f>EDATE(B6,12)</f>
        <v>43967</v>
      </c>
      <c r="C7" s="13" t="s">
        <v>144</v>
      </c>
      <c r="H7" s="12" t="s">
        <v>24</v>
      </c>
      <c r="I7" s="6" t="s">
        <v>25</v>
      </c>
      <c r="J7" s="7"/>
      <c r="K7" s="8"/>
    </row>
    <row r="8" spans="1:11" x14ac:dyDescent="0.25">
      <c r="B8" s="48">
        <f>WORKDAY(EDATE(B6,12)-1,1,H8:K8)</f>
        <v>43969</v>
      </c>
      <c r="C8" s="50" t="s">
        <v>145</v>
      </c>
      <c r="D8" s="2"/>
      <c r="H8" s="9">
        <v>43586</v>
      </c>
      <c r="I8" s="10">
        <v>43593</v>
      </c>
      <c r="J8" s="10">
        <v>43615</v>
      </c>
      <c r="K8" s="11"/>
    </row>
    <row r="9" spans="1:11" x14ac:dyDescent="0.25">
      <c r="A9" s="14" t="s">
        <v>147</v>
      </c>
      <c r="B9" s="41">
        <f ca="1">YEARFRAC(B8,B1)</f>
        <v>5.2888888888888888</v>
      </c>
      <c r="C9" s="13" t="s">
        <v>146</v>
      </c>
    </row>
    <row r="10" spans="1:11" x14ac:dyDescent="0.25">
      <c r="B10" s="41">
        <f ca="1">YEARFRAC(B8,B1,1)</f>
        <v>5.2910583941605847</v>
      </c>
      <c r="C10" s="13" t="s">
        <v>148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9474E-1847-6447-922F-DDB9D024CF8F}">
  <dimension ref="A1:K23"/>
  <sheetViews>
    <sheetView topLeftCell="A12" zoomScale="110" zoomScaleNormal="110" workbookViewId="0">
      <selection activeCell="D18" sqref="D18"/>
    </sheetView>
  </sheetViews>
  <sheetFormatPr baseColWidth="10" defaultRowHeight="19" x14ac:dyDescent="0.25"/>
  <cols>
    <col min="2" max="3" width="11" bestFit="1" customWidth="1"/>
    <col min="6" max="6" width="11.5703125" customWidth="1"/>
    <col min="9" max="10" width="11" bestFit="1" customWidth="1"/>
    <col min="11" max="11" width="13.5703125" customWidth="1"/>
  </cols>
  <sheetData>
    <row r="1" spans="1:11" x14ac:dyDescent="0.25">
      <c r="A1" s="33" t="s">
        <v>0</v>
      </c>
      <c r="B1" s="34">
        <v>1.65</v>
      </c>
      <c r="C1" s="33" t="s">
        <v>1</v>
      </c>
      <c r="D1" s="34">
        <v>200</v>
      </c>
      <c r="E1" s="35"/>
      <c r="F1" s="35"/>
      <c r="G1" s="35"/>
      <c r="H1" s="35"/>
    </row>
    <row r="2" spans="1:11" x14ac:dyDescent="0.25">
      <c r="A2" s="33" t="s">
        <v>2</v>
      </c>
      <c r="B2" s="33" t="s">
        <v>3</v>
      </c>
      <c r="C2" s="33" t="s">
        <v>4</v>
      </c>
      <c r="D2" s="33" t="s">
        <v>5</v>
      </c>
      <c r="E2" s="33" t="s">
        <v>6</v>
      </c>
      <c r="F2" s="33" t="s">
        <v>7</v>
      </c>
      <c r="G2" s="33" t="s">
        <v>65</v>
      </c>
      <c r="H2" s="33" t="s">
        <v>66</v>
      </c>
      <c r="I2" s="33" t="s">
        <v>1</v>
      </c>
      <c r="J2" s="33" t="s">
        <v>75</v>
      </c>
      <c r="K2" s="33" t="s">
        <v>76</v>
      </c>
    </row>
    <row r="3" spans="1:11" x14ac:dyDescent="0.25">
      <c r="A3" s="35" t="s">
        <v>8</v>
      </c>
      <c r="B3" s="35" t="s">
        <v>9</v>
      </c>
      <c r="C3" s="36">
        <v>43709</v>
      </c>
      <c r="D3" s="36">
        <v>43713</v>
      </c>
      <c r="E3" s="35">
        <v>7532</v>
      </c>
      <c r="F3" s="35">
        <v>10432</v>
      </c>
      <c r="G3" s="35">
        <f>F3-E3</f>
        <v>2900</v>
      </c>
      <c r="H3" s="35">
        <f>_xlfn.DAYS(D3,C3)</f>
        <v>4</v>
      </c>
      <c r="I3" s="45">
        <f>IF(_xlfn.DAYS(D3,C3)&lt;2,Forfait,(F3-E3)*PrixKM)</f>
        <v>4785</v>
      </c>
      <c r="J3" s="45">
        <f>IF( (D3-C3)&lt;2, Forfait,
                                         IF( (F3-E3)&gt;1000,  (F3-E3)*PrixKM*1.1,
                                                                           (F3-E3)*PrixKM    ) )</f>
        <v>5263.5</v>
      </c>
      <c r="K3" s="45" cm="1">
        <f t="array" ref="K3">_xlfn.IFS( H3 &lt; 2, Forfait, G3 &gt; 1000, G3*PrixKM*1.1, TRUE, G3*PrixKM)</f>
        <v>5263.5</v>
      </c>
    </row>
    <row r="4" spans="1:11" x14ac:dyDescent="0.25">
      <c r="A4" s="35" t="s">
        <v>10</v>
      </c>
      <c r="B4" s="46" t="s">
        <v>11</v>
      </c>
      <c r="C4" s="36">
        <v>43710</v>
      </c>
      <c r="D4" s="36">
        <v>43710</v>
      </c>
      <c r="E4" s="35">
        <v>11230</v>
      </c>
      <c r="F4" s="35">
        <v>11580</v>
      </c>
      <c r="G4" s="35">
        <f t="shared" ref="G4:G5" si="0">F4-E4</f>
        <v>350</v>
      </c>
      <c r="H4" s="35">
        <f t="shared" ref="H4:H5" si="1">_xlfn.DAYS(D4,C4)</f>
        <v>0</v>
      </c>
      <c r="I4" s="45">
        <f>IF(_xlfn.DAYS(D4,C4)&lt;2,Forfait,(F4-E4)*PrixKM)</f>
        <v>200</v>
      </c>
      <c r="J4" s="45">
        <f>IF( (D4-C4)&lt;2, Forfait,
                                         IF( (F4-E4)&gt;1000,  (F4-E4)*PrixKM*1.1,
                                                                           (F4-E4)*PrixKM    ) )</f>
        <v>200</v>
      </c>
      <c r="K4" s="45" cm="1">
        <f t="array" ref="K4">_xlfn.IFS( H4 &lt; 2, Forfait, G4 &gt; 1000, G4*PrixKM*1.1, TRUE, G4*PrixKM)</f>
        <v>200</v>
      </c>
    </row>
    <row r="5" spans="1:11" x14ac:dyDescent="0.25">
      <c r="A5" s="35" t="s">
        <v>12</v>
      </c>
      <c r="B5" s="46" t="s">
        <v>13</v>
      </c>
      <c r="C5" s="36">
        <v>43711</v>
      </c>
      <c r="D5" s="36">
        <v>43713</v>
      </c>
      <c r="E5" s="35">
        <v>12100</v>
      </c>
      <c r="F5" s="35">
        <v>12520</v>
      </c>
      <c r="G5" s="35">
        <f t="shared" si="0"/>
        <v>420</v>
      </c>
      <c r="H5" s="35">
        <f t="shared" si="1"/>
        <v>2</v>
      </c>
      <c r="I5" s="45">
        <f>IF(_xlfn.DAYS(D5,C5)&lt;2,Forfait,(F5-E5)*PrixKM)</f>
        <v>693</v>
      </c>
      <c r="J5" s="45">
        <f>IF( (D5-C5)&lt;2, Forfait,
                                         IF( (F5-E5)&gt;1000,  (F5-E5)*PrixKM*1.1,
                                                                           (F5-E5)*PrixKM    ) )</f>
        <v>693</v>
      </c>
      <c r="K5" s="45" cm="1">
        <f t="array" ref="K5">_xlfn.IFS( H5 &lt; 2, Forfait, G5 &gt; 1000, G5*PrixKM*1.1, TRUE, G5*PrixKM)</f>
        <v>693</v>
      </c>
    </row>
    <row r="7" spans="1:11" x14ac:dyDescent="0.25">
      <c r="A7" s="35" t="s">
        <v>69</v>
      </c>
      <c r="B7" s="45">
        <f>SUMIF(G3:G5,"&gt;400",I3:I5)</f>
        <v>5478</v>
      </c>
      <c r="C7" s="13" t="s">
        <v>127</v>
      </c>
      <c r="G7" t="s">
        <v>67</v>
      </c>
      <c r="H7" s="41">
        <f>COUNTIFS(G3:G5,"&gt;=500",H3:H5,"&gt;=2")</f>
        <v>1</v>
      </c>
      <c r="I7" s="44" t="s">
        <v>125</v>
      </c>
    </row>
    <row r="8" spans="1:11" x14ac:dyDescent="0.25">
      <c r="A8" t="s">
        <v>68</v>
      </c>
      <c r="B8" s="41">
        <f>COUNTIF(G3:G5,"&gt;400")</f>
        <v>2</v>
      </c>
      <c r="C8" s="13" t="s">
        <v>128</v>
      </c>
      <c r="G8" t="s">
        <v>68</v>
      </c>
      <c r="H8" s="41">
        <f>COUNTIF(G3:G5,"&gt;400")</f>
        <v>2</v>
      </c>
      <c r="I8" s="44" t="s">
        <v>126</v>
      </c>
    </row>
    <row r="9" spans="1:11" x14ac:dyDescent="0.25">
      <c r="A9" s="35" t="s">
        <v>160</v>
      </c>
      <c r="B9" s="45">
        <f>SUMIFS(I3:I5,G3:G5,"&gt;=500",H3:H5,"&gt;=2")</f>
        <v>4785</v>
      </c>
      <c r="C9" s="13" t="s">
        <v>161</v>
      </c>
      <c r="G9" t="s">
        <v>163</v>
      </c>
      <c r="H9" s="41">
        <f>COUNTIF(B3:B5,"=Vent*")</f>
        <v>2</v>
      </c>
      <c r="I9" s="44" t="s">
        <v>164</v>
      </c>
    </row>
    <row r="10" spans="1:11" x14ac:dyDescent="0.25">
      <c r="C10" s="13"/>
      <c r="I10" s="44"/>
    </row>
    <row r="11" spans="1:11" x14ac:dyDescent="0.25">
      <c r="B11" s="5" t="s">
        <v>72</v>
      </c>
      <c r="C11" s="5" t="s">
        <v>73</v>
      </c>
      <c r="D11" s="14" t="s">
        <v>85</v>
      </c>
      <c r="E11" s="14"/>
      <c r="F11" s="37" t="s">
        <v>82</v>
      </c>
    </row>
    <row r="12" spans="1:11" x14ac:dyDescent="0.25">
      <c r="A12" t="s">
        <v>71</v>
      </c>
      <c r="B12" s="41" t="b">
        <f>OR($B3="Ventes",$G3&gt;1000)</f>
        <v>1</v>
      </c>
      <c r="C12" s="45">
        <f>IF(OR($B3="Ventes",$G3&gt;1000),I3*1.1,I3)</f>
        <v>5263.5</v>
      </c>
      <c r="D12" s="41" t="b">
        <f>OR($B3="Vente*",$G3&gt;1000)</f>
        <v>1</v>
      </c>
      <c r="F12" s="13" t="s">
        <v>83</v>
      </c>
      <c r="G12" s="13" t="s">
        <v>84</v>
      </c>
    </row>
    <row r="13" spans="1:11" x14ac:dyDescent="0.25">
      <c r="A13" t="s">
        <v>70</v>
      </c>
      <c r="B13" s="41" t="b">
        <f t="shared" ref="B13:B14" si="2">OR($B4="Ventes",$G4&gt;1000)</f>
        <v>1</v>
      </c>
      <c r="C13" s="45">
        <f t="shared" ref="C13:C14" si="3">IF(OR($B4="Ventes",$G4&gt;1000),I4*1.1,I4)</f>
        <v>220.00000000000003</v>
      </c>
      <c r="D13" s="41" t="b">
        <f t="shared" ref="D13:D14" si="4">OR($B4="Vente*",$G4&gt;1000)</f>
        <v>0</v>
      </c>
      <c r="F13" s="13" t="s">
        <v>86</v>
      </c>
    </row>
    <row r="14" spans="1:11" x14ac:dyDescent="0.25">
      <c r="A14" t="s">
        <v>74</v>
      </c>
      <c r="B14" s="41" t="b">
        <f t="shared" si="2"/>
        <v>0</v>
      </c>
      <c r="C14" s="45">
        <f t="shared" si="3"/>
        <v>693</v>
      </c>
      <c r="D14" s="41" t="b">
        <f t="shared" si="4"/>
        <v>0</v>
      </c>
      <c r="F14" s="13" t="s">
        <v>129</v>
      </c>
      <c r="G14" s="13" t="s">
        <v>84</v>
      </c>
      <c r="H14" s="13" t="s">
        <v>162</v>
      </c>
    </row>
    <row r="17" spans="1:3" x14ac:dyDescent="0.25">
      <c r="A17" s="26" t="s">
        <v>2</v>
      </c>
      <c r="B17" s="27" t="s">
        <v>77</v>
      </c>
      <c r="C17" s="28" t="s">
        <v>78</v>
      </c>
    </row>
    <row r="18" spans="1:3" x14ac:dyDescent="0.25">
      <c r="A18" t="s">
        <v>46</v>
      </c>
      <c r="B18" s="15">
        <v>8.3000000000000007</v>
      </c>
      <c r="C18" s="47" t="str" cm="1">
        <f t="array" ref="C18">_xlfn.IFS(B18&gt;=16,"Acquis",B18&gt;=12,"A consolider", B18&gt;=9,"En cours d'acquisition",TRUE,"Non acquis")</f>
        <v>Non acquis</v>
      </c>
    </row>
    <row r="19" spans="1:3" x14ac:dyDescent="0.25">
      <c r="A19" t="s">
        <v>48</v>
      </c>
      <c r="B19" s="15">
        <v>11.3</v>
      </c>
      <c r="C19" s="47" t="str" cm="1">
        <f t="array" ref="C19">_xlfn.IFS(B19&gt;=16,"Acquis",B19&gt;=12,"A consolider", B19&gt;=9,"En cours d'acquisition",TRUE,"Non acquis")</f>
        <v>En cours d'acquisition</v>
      </c>
    </row>
    <row r="20" spans="1:3" x14ac:dyDescent="0.25">
      <c r="A20" t="s">
        <v>50</v>
      </c>
      <c r="B20" s="15">
        <v>12.5</v>
      </c>
      <c r="C20" s="47" t="str" cm="1">
        <f t="array" ref="C20">_xlfn.IFS(B20&gt;=16,"Acquis",B20&gt;=12,"A consolider", B20&gt;=9,"En cours d'acquisition",TRUE,"Non acquis")</f>
        <v>A consolider</v>
      </c>
    </row>
    <row r="21" spans="1:3" x14ac:dyDescent="0.25">
      <c r="A21" t="s">
        <v>79</v>
      </c>
      <c r="B21" s="15">
        <v>15</v>
      </c>
      <c r="C21" s="47" t="str" cm="1">
        <f t="array" ref="C21">_xlfn.IFS(B21&gt;=16,"Acquis",B21&gt;=12,"A consolider", B21&gt;=9,"En cours d'acquisition",TRUE,"Non acquis")</f>
        <v>A consolider</v>
      </c>
    </row>
    <row r="22" spans="1:3" x14ac:dyDescent="0.25">
      <c r="A22" t="s">
        <v>80</v>
      </c>
      <c r="B22" s="15">
        <v>16.5</v>
      </c>
      <c r="C22" s="47" t="str" cm="1">
        <f t="array" ref="C22">_xlfn.IFS(B22&gt;=16,"Acquis",B22&gt;=12,"A consolider", B22&gt;=9,"En cours d'acquisition",TRUE,"Non acquis")</f>
        <v>Acquis</v>
      </c>
    </row>
    <row r="23" spans="1:3" x14ac:dyDescent="0.25">
      <c r="B23" s="15"/>
      <c r="C23" s="3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E5FB0-2417-B140-B4EA-23A4912B825D}">
  <dimension ref="A2:F5"/>
  <sheetViews>
    <sheetView workbookViewId="0">
      <selection activeCell="B10" sqref="B10"/>
    </sheetView>
  </sheetViews>
  <sheetFormatPr baseColWidth="10" defaultRowHeight="19" x14ac:dyDescent="0.25"/>
  <cols>
    <col min="1" max="1" width="19.140625" customWidth="1"/>
  </cols>
  <sheetData>
    <row r="2" spans="1:6" x14ac:dyDescent="0.25">
      <c r="A2" t="s">
        <v>165</v>
      </c>
      <c r="B2" s="55">
        <v>-2.25</v>
      </c>
      <c r="C2" s="55">
        <v>-1.5</v>
      </c>
      <c r="D2" s="55">
        <v>0</v>
      </c>
      <c r="E2" s="55">
        <v>1.75</v>
      </c>
      <c r="F2" s="55">
        <v>2.9</v>
      </c>
    </row>
    <row r="3" spans="1:6" x14ac:dyDescent="0.25">
      <c r="A3" t="s">
        <v>168</v>
      </c>
      <c r="B3" s="57">
        <v>-2</v>
      </c>
      <c r="C3" s="57">
        <v>-1</v>
      </c>
      <c r="D3" s="57">
        <v>0</v>
      </c>
      <c r="E3" s="57">
        <v>1</v>
      </c>
      <c r="F3" s="57">
        <v>2</v>
      </c>
    </row>
    <row r="4" spans="1:6" x14ac:dyDescent="0.25">
      <c r="A4" t="s">
        <v>166</v>
      </c>
      <c r="B4" s="56">
        <v>-2.25</v>
      </c>
      <c r="C4" s="56">
        <v>-1.5</v>
      </c>
      <c r="D4" s="56">
        <v>0</v>
      </c>
      <c r="E4" s="56">
        <v>1.75</v>
      </c>
      <c r="F4" s="56">
        <v>2.9</v>
      </c>
    </row>
    <row r="5" spans="1:6" x14ac:dyDescent="0.25">
      <c r="A5" t="s">
        <v>167</v>
      </c>
      <c r="B5" s="58">
        <v>-2.25</v>
      </c>
      <c r="C5" s="58">
        <v>-1.5</v>
      </c>
      <c r="D5" s="58">
        <v>0</v>
      </c>
      <c r="E5" s="58">
        <v>1.75</v>
      </c>
      <c r="F5" s="58">
        <v>2.9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4</vt:i4>
      </vt:variant>
    </vt:vector>
  </HeadingPairs>
  <TitlesOfParts>
    <vt:vector size="13" baseType="lpstr">
      <vt:lpstr>range</vt:lpstr>
      <vt:lpstr>JoursFériés</vt:lpstr>
      <vt:lpstr>Frais au km</vt:lpstr>
      <vt:lpstr>statistiques</vt:lpstr>
      <vt:lpstr>prêts</vt:lpstr>
      <vt:lpstr>texte</vt:lpstr>
      <vt:lpstr>dates</vt:lpstr>
      <vt:lpstr>tests</vt:lpstr>
      <vt:lpstr>affichage</vt:lpstr>
      <vt:lpstr>Forfait</vt:lpstr>
      <vt:lpstr>JoursFeries</vt:lpstr>
      <vt:lpstr>Noms_Jours_fériés</vt:lpstr>
      <vt:lpstr>PrixKM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2023-09-21T10:24:19Z</dcterms:created>
  <dcterms:modified xsi:type="dcterms:W3CDTF">2025-09-02T14:28:36Z</dcterms:modified>
</cp:coreProperties>
</file>