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kirsch/Documents/Dropbox/Aulas/EMEP/Excel/Exemple Projet - Employés/"/>
    </mc:Choice>
  </mc:AlternateContent>
  <xr:revisionPtr revIDLastSave="0" documentId="13_ncr:1_{BD7E4880-EE62-5B4B-B89A-2FF6FBB00E4D}" xr6:coauthVersionLast="36" xr6:coauthVersionMax="36" xr10:uidLastSave="{00000000-0000-0000-0000-000000000000}"/>
  <bookViews>
    <workbookView xWindow="1220" yWindow="1660" windowWidth="24740" windowHeight="13920" xr2:uid="{A4F629C6-DCE7-E942-B11F-F55A10349E4D}"/>
  </bookViews>
  <sheets>
    <sheet name="Employés" sheetId="1" r:id="rId1"/>
    <sheet name="Ventes" sheetId="2" r:id="rId2"/>
    <sheet name="Produits" sheetId="3" r:id="rId3"/>
    <sheet name="Tableaux" sheetId="4" r:id="rId4"/>
    <sheet name="Recherche" sheetId="6" r:id="rId5"/>
  </sheets>
  <calcPr calcId="181029"/>
  <pivotCaches>
    <pivotCache cacheId="0" r:id="rId6"/>
    <pivotCache cacheId="1" r:id="rId7"/>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 i="1" l="1"/>
  <c r="O3" i="1"/>
  <c r="O4" i="1"/>
  <c r="O5" i="1"/>
  <c r="O6" i="1"/>
  <c r="O7" i="1"/>
  <c r="O8" i="1"/>
  <c r="O9" i="1"/>
  <c r="O10" i="1"/>
  <c r="O11" i="1"/>
  <c r="O12" i="1"/>
  <c r="O13" i="1"/>
  <c r="O14" i="1"/>
  <c r="O15" i="1"/>
  <c r="O16" i="1"/>
  <c r="O17" i="1"/>
  <c r="O18" i="1"/>
  <c r="O19" i="1"/>
  <c r="O20" i="1"/>
  <c r="O21" i="1"/>
  <c r="O22" i="1"/>
  <c r="O23" i="1"/>
  <c r="O24" i="1"/>
  <c r="O25" i="1"/>
  <c r="O26" i="1"/>
  <c r="O27" i="1"/>
  <c r="O28" i="1"/>
  <c r="O29" i="1"/>
  <c r="O30" i="1"/>
  <c r="R3" i="1"/>
  <c r="R4" i="1"/>
  <c r="R5" i="1"/>
  <c r="R6" i="1"/>
  <c r="R7" i="1"/>
  <c r="R8" i="1"/>
  <c r="R9" i="1"/>
  <c r="R10" i="1"/>
  <c r="R11" i="1"/>
  <c r="R12" i="1"/>
  <c r="R13" i="1"/>
  <c r="R14" i="1"/>
  <c r="R15" i="1"/>
  <c r="R16" i="1"/>
  <c r="R17" i="1"/>
  <c r="R18" i="1"/>
  <c r="R19" i="1"/>
  <c r="R20" i="1"/>
  <c r="R21" i="1"/>
  <c r="R22" i="1"/>
  <c r="R23" i="1"/>
  <c r="R24" i="1"/>
  <c r="R25" i="1"/>
  <c r="R26" i="1"/>
  <c r="R27" i="1"/>
  <c r="R28" i="1"/>
  <c r="R29" i="1"/>
  <c r="R30" i="1"/>
  <c r="R2" i="1"/>
  <c r="P2" i="1"/>
  <c r="P3" i="1"/>
  <c r="P4" i="1"/>
  <c r="P5" i="1"/>
  <c r="P6" i="1"/>
  <c r="P7" i="1"/>
  <c r="P8" i="1"/>
  <c r="P9" i="1"/>
  <c r="P10" i="1"/>
  <c r="P11" i="1"/>
  <c r="P12" i="1"/>
  <c r="P13" i="1"/>
  <c r="P14" i="1"/>
  <c r="P15" i="1"/>
  <c r="P16" i="1"/>
  <c r="P17" i="1"/>
  <c r="P18" i="1"/>
  <c r="P19" i="1"/>
  <c r="P20" i="1"/>
  <c r="P21" i="1"/>
  <c r="P22" i="1"/>
  <c r="P23" i="1"/>
  <c r="P24" i="1"/>
  <c r="P25" i="1"/>
  <c r="P26" i="1"/>
  <c r="P27" i="1"/>
  <c r="P28" i="1"/>
  <c r="P29" i="1"/>
  <c r="P30" i="1"/>
  <c r="Q3" i="1"/>
  <c r="Q4" i="1"/>
  <c r="Q5" i="1"/>
  <c r="Q6" i="1"/>
  <c r="Q7" i="1"/>
  <c r="Q8" i="1"/>
  <c r="Q9" i="1"/>
  <c r="Q10" i="1"/>
  <c r="Q11" i="1"/>
  <c r="Q12" i="1"/>
  <c r="Q13" i="1"/>
  <c r="Q14" i="1"/>
  <c r="Q15" i="1"/>
  <c r="Q16" i="1"/>
  <c r="Q17" i="1"/>
  <c r="Q18" i="1"/>
  <c r="Q19" i="1"/>
  <c r="Q20" i="1"/>
  <c r="Q21" i="1"/>
  <c r="Q22" i="1"/>
  <c r="Q23" i="1"/>
  <c r="Q24" i="1"/>
  <c r="Q25" i="1"/>
  <c r="Q26" i="1"/>
  <c r="Q27" i="1"/>
  <c r="Q28" i="1"/>
  <c r="Q29" i="1"/>
  <c r="Q30" i="1"/>
  <c r="Q2" i="1"/>
  <c r="M30" i="1"/>
  <c r="N30" i="1"/>
  <c r="B8" i="6" l="1"/>
  <c r="B7" i="6"/>
  <c r="B6" i="6"/>
  <c r="G3" i="2" l="1"/>
  <c r="G4" i="2"/>
  <c r="B9" i="6" s="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2" i="2"/>
  <c r="M2" i="1"/>
  <c r="M3" i="1"/>
  <c r="M4" i="1"/>
  <c r="M5" i="1"/>
  <c r="M6" i="1"/>
  <c r="M7" i="1"/>
  <c r="M8" i="1"/>
  <c r="M9" i="1"/>
  <c r="M10" i="1"/>
  <c r="M11" i="1"/>
  <c r="M12" i="1"/>
  <c r="M13" i="1"/>
  <c r="M14" i="1"/>
  <c r="M15" i="1"/>
  <c r="M16" i="1"/>
  <c r="M17" i="1"/>
  <c r="M18" i="1"/>
  <c r="M19" i="1"/>
  <c r="M20" i="1"/>
  <c r="M21" i="1"/>
  <c r="M22" i="1"/>
  <c r="M23" i="1"/>
  <c r="M24" i="1"/>
  <c r="M25" i="1"/>
  <c r="M26" i="1"/>
  <c r="M27" i="1"/>
  <c r="M28" i="1"/>
  <c r="M29" i="1"/>
  <c r="N2" i="1"/>
  <c r="N9" i="1"/>
  <c r="N10" i="1"/>
  <c r="N11" i="1"/>
  <c r="N12" i="1"/>
  <c r="N13" i="1"/>
  <c r="N14" i="1"/>
  <c r="N15" i="1"/>
  <c r="N16" i="1"/>
  <c r="N17" i="1"/>
  <c r="N18" i="1"/>
  <c r="N19" i="1"/>
  <c r="N20" i="1"/>
  <c r="N21" i="1"/>
  <c r="N22" i="1"/>
  <c r="N23" i="1"/>
  <c r="N24" i="1"/>
  <c r="N25" i="1"/>
  <c r="N26" i="1"/>
  <c r="N27" i="1"/>
  <c r="N28" i="1"/>
  <c r="N29" i="1"/>
  <c r="N3" i="1"/>
  <c r="N4" i="1"/>
  <c r="N5" i="1"/>
  <c r="N6" i="1"/>
  <c r="N7" i="1"/>
  <c r="N8" i="1"/>
  <c r="B3" i="3"/>
  <c r="B4" i="3"/>
  <c r="B5" i="3"/>
  <c r="B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Manuele Kirsch Pinheiro</author>
  </authors>
  <commentList>
    <comment ref="N2" authorId="0" shapeId="0" xr:uid="{E1F33A58-D970-804F-AC7D-98734AD2E7B1}">
      <text>
        <r>
          <rPr>
            <b/>
            <sz val="10"/>
            <color rgb="FF000000"/>
            <rFont val="Tahoma"/>
            <family val="2"/>
          </rPr>
          <t>Manuele Kirsch Pinheiro:</t>
        </r>
        <r>
          <rPr>
            <sz val="10"/>
            <color rgb="FF000000"/>
            <rFont val="Tahoma"/>
            <family val="2"/>
          </rPr>
          <t xml:space="preserve">
</t>
        </r>
        <r>
          <rPr>
            <sz val="10"/>
            <color rgb="FF000000"/>
            <rFont val="Tahoma"/>
            <family val="2"/>
          </rPr>
          <t xml:space="preserve">pour info (comprendre ce qui fait la fonction nb dans ce contexte). Normalement, on n'a pas besoin d'avoir cette colonne dans la solution, mais si on veut, on peut l'utiliser pour faire la formule plus simple. 
</t>
        </r>
      </text>
    </comment>
    <comment ref="O2" authorId="0" shapeId="0" xr:uid="{EBF52366-1331-5A40-86D9-A6D113E7B9C3}">
      <text>
        <r>
          <rPr>
            <b/>
            <sz val="10"/>
            <color rgb="FF000000"/>
            <rFont val="Tahoma"/>
            <family val="2"/>
          </rPr>
          <t>Manuele Kirsch Pinheiro:</t>
        </r>
        <r>
          <rPr>
            <sz val="10"/>
            <color rgb="FF000000"/>
            <rFont val="Tahoma"/>
            <family val="2"/>
          </rPr>
          <t xml:space="preserve">
</t>
        </r>
        <r>
          <rPr>
            <sz val="10"/>
            <color rgb="FF000000"/>
            <rFont val="Tahoma"/>
            <family val="2"/>
          </rPr>
          <t xml:space="preserve">Comme la colonne à côté, celle-ci est là juste pour illustrer la formule qu'on pourra utiliser pour la mise en forme conditionnelle.. 
</t>
        </r>
      </text>
    </comment>
  </commentList>
</comments>
</file>

<file path=xl/sharedStrings.xml><?xml version="1.0" encoding="utf-8"?>
<sst xmlns="http://schemas.openxmlformats.org/spreadsheetml/2006/main" count="436" uniqueCount="207">
  <si>
    <t>NOM</t>
  </si>
  <si>
    <t>SEXE</t>
  </si>
  <si>
    <t>FONCTION</t>
  </si>
  <si>
    <t>AGENCE</t>
  </si>
  <si>
    <t>SALAIRE ACTUEL</t>
  </si>
  <si>
    <t>DIPLÔME</t>
  </si>
  <si>
    <t>ANCIENNETE</t>
  </si>
  <si>
    <t>AGE</t>
  </si>
  <si>
    <t>SITUATION FAMILIALE</t>
  </si>
  <si>
    <t>ENFANTS</t>
  </si>
  <si>
    <t>BOUKO Charles</t>
  </si>
  <si>
    <t>M</t>
  </si>
  <si>
    <t>DIR COM</t>
  </si>
  <si>
    <t>PARIS</t>
  </si>
  <si>
    <t>SANS</t>
  </si>
  <si>
    <t>ROSPORTE Jacques</t>
  </si>
  <si>
    <t>PDG</t>
  </si>
  <si>
    <t>CENTRALE</t>
  </si>
  <si>
    <t>DELAPORTE Patrick</t>
  </si>
  <si>
    <t>DG</t>
  </si>
  <si>
    <t>HEC</t>
  </si>
  <si>
    <t>DREFFUS Charlie</t>
  </si>
  <si>
    <t>INGENIEUR</t>
  </si>
  <si>
    <t>USINE</t>
  </si>
  <si>
    <t>MBA</t>
  </si>
  <si>
    <t>NAUDEAU Cyril</t>
  </si>
  <si>
    <t>TECHNICIEN</t>
  </si>
  <si>
    <t>DUT</t>
  </si>
  <si>
    <t>MARITTO Francesca</t>
  </si>
  <si>
    <t>F</t>
  </si>
  <si>
    <t>SECRETAIRE</t>
  </si>
  <si>
    <t>LILLE</t>
  </si>
  <si>
    <t>BAC</t>
  </si>
  <si>
    <t>BASCHET Françoise</t>
  </si>
  <si>
    <t>VENDEUR</t>
  </si>
  <si>
    <t>NICE</t>
  </si>
  <si>
    <t>D</t>
  </si>
  <si>
    <t>GRASSET Franck</t>
  </si>
  <si>
    <t>DEA</t>
  </si>
  <si>
    <t>RUDEAU Jean Claude</t>
  </si>
  <si>
    <t>GALOTTI Marc</t>
  </si>
  <si>
    <t>LYON</t>
  </si>
  <si>
    <t>LICENCE</t>
  </si>
  <si>
    <t>C</t>
  </si>
  <si>
    <t>DANO Rachel</t>
  </si>
  <si>
    <t>GLORI Raymond</t>
  </si>
  <si>
    <t>CHAUFFEUR</t>
  </si>
  <si>
    <t>LECUYER Robert</t>
  </si>
  <si>
    <t>CHEF MONTEUR</t>
  </si>
  <si>
    <t>CONTI Samanta</t>
  </si>
  <si>
    <t>MINELLI Sophia</t>
  </si>
  <si>
    <t>QUENISSET Thierry</t>
  </si>
  <si>
    <t>DIR AGENCE</t>
  </si>
  <si>
    <t>RENNES</t>
  </si>
  <si>
    <t>MANUE Zoe</t>
  </si>
  <si>
    <t>SOUS DIR</t>
  </si>
  <si>
    <t>VILLARD Alain</t>
  </si>
  <si>
    <t>MONTEUR</t>
  </si>
  <si>
    <t>BEP</t>
  </si>
  <si>
    <t>DORMEUIL Albertine</t>
  </si>
  <si>
    <t>LEGRAND Alex</t>
  </si>
  <si>
    <t>DIR VENTES</t>
  </si>
  <si>
    <t>ESSEC</t>
  </si>
  <si>
    <t>BATIHNE Bruno</t>
  </si>
  <si>
    <t>LAMBEL Carl</t>
  </si>
  <si>
    <t>POINCARE Charles</t>
  </si>
  <si>
    <t>MAITRISE</t>
  </si>
  <si>
    <t>DESCHAMPS Christophe</t>
  </si>
  <si>
    <t>ESC</t>
  </si>
  <si>
    <t>BAUDRY Claude</t>
  </si>
  <si>
    <t>LEE David</t>
  </si>
  <si>
    <t>DIR PRODUC</t>
  </si>
  <si>
    <t>CNAM</t>
  </si>
  <si>
    <t>ACCORD Elisabeth</t>
  </si>
  <si>
    <t>RESP RP</t>
  </si>
  <si>
    <t>SC PO</t>
  </si>
  <si>
    <t>DOLLFUS Emmanuel</t>
  </si>
  <si>
    <t>DIR TECH</t>
  </si>
  <si>
    <t>NUMEMP</t>
  </si>
  <si>
    <t>EMAIL</t>
  </si>
  <si>
    <t>bouko@gmail.com</t>
  </si>
  <si>
    <t>rosporte at gmail.com</t>
  </si>
  <si>
    <t>delaporte</t>
  </si>
  <si>
    <t>c.naudeau@boite.fr</t>
  </si>
  <si>
    <t xml:space="preserve">f.maritto </t>
  </si>
  <si>
    <t xml:space="preserve">f.baschet </t>
  </si>
  <si>
    <t>f.grasset@boite.fr</t>
  </si>
  <si>
    <t xml:space="preserve">galotti </t>
  </si>
  <si>
    <t>r.dano@boite.fr</t>
  </si>
  <si>
    <t xml:space="preserve">glori </t>
  </si>
  <si>
    <t>minelli.sophia@gmail.com</t>
  </si>
  <si>
    <t>quenisset</t>
  </si>
  <si>
    <t xml:space="preserve">z.manue@boite.fr  </t>
  </si>
  <si>
    <t xml:space="preserve">villard </t>
  </si>
  <si>
    <t>legrand.alex@gmail.com</t>
  </si>
  <si>
    <t>batihne.bruno@boite.fr</t>
  </si>
  <si>
    <t>lambel.carl@boite.fr</t>
  </si>
  <si>
    <t>poincare</t>
  </si>
  <si>
    <t>lee.david@boite.fr</t>
  </si>
  <si>
    <t>elisabeth</t>
  </si>
  <si>
    <t>DATE FACTURE</t>
  </si>
  <si>
    <t>CODE CLIENT</t>
  </si>
  <si>
    <t>MONTANT</t>
  </si>
  <si>
    <t>CLI009</t>
  </si>
  <si>
    <t>CLI038</t>
  </si>
  <si>
    <t>CLI098</t>
  </si>
  <si>
    <t>CLI114</t>
  </si>
  <si>
    <t>CLI115</t>
  </si>
  <si>
    <t>CLI145</t>
  </si>
  <si>
    <t>CLI163</t>
  </si>
  <si>
    <t>CLI204</t>
  </si>
  <si>
    <t>CLI206</t>
  </si>
  <si>
    <t>CLI209</t>
  </si>
  <si>
    <t>CLI212</t>
  </si>
  <si>
    <t>CLI219</t>
  </si>
  <si>
    <t>CLI222</t>
  </si>
  <si>
    <t>CLI228</t>
  </si>
  <si>
    <t>CLI232</t>
  </si>
  <si>
    <t>CLI235</t>
  </si>
  <si>
    <t>CLI300</t>
  </si>
  <si>
    <t>CLI312</t>
  </si>
  <si>
    <t>CLI334</t>
  </si>
  <si>
    <t>CLI403</t>
  </si>
  <si>
    <t>CLI512</t>
  </si>
  <si>
    <t>CLI520</t>
  </si>
  <si>
    <t>PRODUIT</t>
  </si>
  <si>
    <t>MAQUETTE 3D</t>
  </si>
  <si>
    <t>PROTOTYPAGE</t>
  </si>
  <si>
    <t>HABILLEMENT</t>
  </si>
  <si>
    <t>PUBLICITE</t>
  </si>
  <si>
    <t>CONTRAT</t>
  </si>
  <si>
    <t>NB Contrat</t>
  </si>
  <si>
    <t>Prime</t>
  </si>
  <si>
    <t>FA-2020-0010</t>
  </si>
  <si>
    <t>FA-2020-0006</t>
  </si>
  <si>
    <t>FA-2020-0009</t>
  </si>
  <si>
    <t>FA-2020-0012</t>
  </si>
  <si>
    <t>FA-2020-0008</t>
  </si>
  <si>
    <t>FA-2020-0027</t>
  </si>
  <si>
    <t>FA-2020-0028</t>
  </si>
  <si>
    <t>FA-2020-0029</t>
  </si>
  <si>
    <t>FA-2020-0017</t>
  </si>
  <si>
    <t>FA-2020-0031</t>
  </si>
  <si>
    <t>FA-2020-0040</t>
  </si>
  <si>
    <t>FA-2020-0015</t>
  </si>
  <si>
    <t>FA-2020-0020</t>
  </si>
  <si>
    <t>FA-2020-0021</t>
  </si>
  <si>
    <t>FA-2020-0022</t>
  </si>
  <si>
    <t>FA-2020-0023</t>
  </si>
  <si>
    <t>FA-2020-0034</t>
  </si>
  <si>
    <t>FA-2020-0035</t>
  </si>
  <si>
    <t>FA-2020-0036</t>
  </si>
  <si>
    <t>FA-2020-0037</t>
  </si>
  <si>
    <t>FA-2020-0043</t>
  </si>
  <si>
    <t>FA-2020-0044</t>
  </si>
  <si>
    <t>FA-2020-0045</t>
  </si>
  <si>
    <t>FA-2020-0046</t>
  </si>
  <si>
    <t>FA-2020-0024</t>
  </si>
  <si>
    <t>FA-2020-0038</t>
  </si>
  <si>
    <t>FA-2020-0047</t>
  </si>
  <si>
    <t>FA-2020-0025</t>
  </si>
  <si>
    <t>FA-2020-0026</t>
  </si>
  <si>
    <t>FA-2020-0018</t>
  </si>
  <si>
    <t>FA-2020-0032</t>
  </si>
  <si>
    <t>FA-2020-0041</t>
  </si>
  <si>
    <t>FA-2020-0002</t>
  </si>
  <si>
    <t>FA-2020-0001</t>
  </si>
  <si>
    <t>FA-2020-0003</t>
  </si>
  <si>
    <t>FA-2020-0013</t>
  </si>
  <si>
    <t>FA-2020-0004</t>
  </si>
  <si>
    <t>FA-2020-0019</t>
  </si>
  <si>
    <t>FA-2020-0033</t>
  </si>
  <si>
    <t>FA-2020-0042</t>
  </si>
  <si>
    <t>FA-2020-0014</t>
  </si>
  <si>
    <t>FA-2020-0011</t>
  </si>
  <si>
    <t>FA-2020-0016</t>
  </si>
  <si>
    <t>FA-2020-0030</t>
  </si>
  <si>
    <t>FA-2020-0039</t>
  </si>
  <si>
    <t>FA-2020-0007</t>
  </si>
  <si>
    <t>FA-2020-0005</t>
  </si>
  <si>
    <t>Total général</t>
  </si>
  <si>
    <t>Sexe</t>
  </si>
  <si>
    <t>Agence</t>
  </si>
  <si>
    <t>Total Moy SALAIRE</t>
  </si>
  <si>
    <t>Moy SALAIRE</t>
  </si>
  <si>
    <t>Total Moy ANCIENNETE</t>
  </si>
  <si>
    <t>Moy ANCIENNETE</t>
  </si>
  <si>
    <t>(Tous)</t>
  </si>
  <si>
    <t>Total Nb Employés</t>
  </si>
  <si>
    <t>Nb Employés</t>
  </si>
  <si>
    <t>Moy Prime</t>
  </si>
  <si>
    <t>Fonctions</t>
  </si>
  <si>
    <t>Ancienneté</t>
  </si>
  <si>
    <t>Somme de MONTANT</t>
  </si>
  <si>
    <t>NOM VENDEUR</t>
  </si>
  <si>
    <t>Produits</t>
  </si>
  <si>
    <t>Vendeur</t>
  </si>
  <si>
    <t>Nb Contrats</t>
  </si>
  <si>
    <t>Recherche sur les ventes</t>
  </si>
  <si>
    <t xml:space="preserve"> MONTANT </t>
  </si>
  <si>
    <t>Zone de critères</t>
  </si>
  <si>
    <t>Montant total</t>
  </si>
  <si>
    <t>Montant moyen</t>
  </si>
  <si>
    <t>Nb contrats</t>
  </si>
  <si>
    <t>GALOTTI Marie</t>
  </si>
  <si>
    <t>Formule mise en forme</t>
  </si>
  <si>
    <t>1ère partie -&gt; on peut avoir des erreurs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</si>
</sst>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43" formatCode="_ * #,##0.00_)\ _€_ ;_ * \(#,##0.00\)\ _€_ ;_ * &quot;-&quot;??_)\ _€_ ;_ @_ "/>
    <numFmt numFmtId="164" formatCode="_-* #,##0\ _F_-;\-* #,##0\ _F_-;_-* &quot;-&quot;??\ _F_-;_-@_-"/>
    <numFmt numFmtId="165" formatCode="_ * #,##0_)\ _€_ ;_ * \(#,##0\)\ _€_ ;_ * &quot;-&quot;??_)\ _€_ ;_ @_ "/>
  </numFmts>
  <fonts count="11">
    <font>
      <sz val="12"/>
      <color theme="1"/>
      <name val="Calibri"/>
      <family val="2"/>
      <scheme val="minor"/>
    </font>
    <font>
      <sz val="12"/>
      <color theme="1"/>
      <name val="Calibri"/>
      <family val="2"/>
      <scheme val="minor"/>
    </font>
    <font>
      <b/>
      <sz val="12"/>
      <name val="Calibri Light"/>
      <family val="2"/>
      <scheme val="major"/>
    </font>
    <font>
      <sz val="12"/>
      <color theme="1"/>
      <name val="Calibri Light"/>
      <family val="2"/>
      <scheme val="major"/>
    </font>
    <font>
      <b/>
      <sz val="11"/>
      <color theme="1"/>
      <name val="Calibri"/>
      <family val="2"/>
      <scheme val="minor"/>
    </font>
    <font>
      <sz val="10"/>
      <color rgb="FF000000"/>
      <name val="Tahoma"/>
      <family val="2"/>
    </font>
    <font>
      <b/>
      <sz val="10"/>
      <color rgb="FF000000"/>
      <name val="Tahoma"/>
      <family val="2"/>
    </font>
    <font>
      <b/>
      <sz val="12"/>
      <color theme="1"/>
      <name val="Calibri"/>
      <family val="2"/>
      <scheme val="minor"/>
    </font>
    <font>
      <b/>
      <sz val="11"/>
      <color rgb="FF000000"/>
      <name val="Calibri"/>
      <family val="2"/>
      <scheme val="minor"/>
    </font>
    <font>
      <b/>
      <sz val="12"/>
      <color theme="4"/>
      <name val="Calibri"/>
      <family val="2"/>
      <scheme val="minor"/>
    </font>
    <font>
      <u/>
      <sz val="12"/>
      <color theme="10"/>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cellStyleXfs>
  <cellXfs count="40">
    <xf numFmtId="0" fontId="0" fillId="0" borderId="0" xfId="0"/>
    <xf numFmtId="0" fontId="0" fillId="0" borderId="0" xfId="0" applyAlignment="1">
      <alignment horizontal="center"/>
    </xf>
    <xf numFmtId="164" fontId="0" fillId="0" borderId="0" xfId="1" applyNumberFormat="1" applyFont="1"/>
    <xf numFmtId="0" fontId="0" fillId="0" borderId="0" xfId="0" applyAlignment="1">
      <alignment horizontal="left"/>
    </xf>
    <xf numFmtId="0" fontId="2" fillId="2" borderId="1" xfId="0" applyFont="1" applyFill="1" applyBorder="1" applyAlignment="1">
      <alignment horizontal="center" vertical="center"/>
    </xf>
    <xf numFmtId="164" fontId="2" fillId="2" borderId="1" xfId="1" applyNumberFormat="1" applyFont="1" applyFill="1" applyBorder="1" applyAlignment="1">
      <alignment horizontal="center" vertical="center"/>
    </xf>
    <xf numFmtId="0" fontId="3" fillId="0" borderId="0" xfId="0" applyFont="1"/>
    <xf numFmtId="0" fontId="2" fillId="2" borderId="1" xfId="0" applyFont="1" applyFill="1" applyBorder="1" applyAlignment="1">
      <alignment horizontal="left"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14" fontId="0" fillId="0" borderId="0" xfId="0" applyNumberFormat="1"/>
    <xf numFmtId="44" fontId="4" fillId="0" borderId="0" xfId="2" applyFont="1" applyAlignment="1">
      <alignment horizontal="center" vertical="center" wrapText="1"/>
    </xf>
    <xf numFmtId="44" fontId="0" fillId="0" borderId="0" xfId="2" applyFont="1"/>
    <xf numFmtId="44" fontId="2" fillId="2" borderId="1" xfId="2" applyNumberFormat="1" applyFont="1" applyFill="1" applyBorder="1" applyAlignment="1">
      <alignment horizontal="center" vertical="center"/>
    </xf>
    <xf numFmtId="44" fontId="0" fillId="0" borderId="0" xfId="2" applyNumberFormat="1" applyFont="1"/>
    <xf numFmtId="0" fontId="0" fillId="0" borderId="0" xfId="0" pivotButton="1"/>
    <xf numFmtId="0" fontId="0" fillId="0" borderId="0" xfId="0" pivotButton="1" applyAlignment="1">
      <alignment horizontal="center"/>
    </xf>
    <xf numFmtId="0" fontId="0" fillId="0" borderId="0" xfId="0" applyAlignment="1">
      <alignment horizontal="center"/>
    </xf>
    <xf numFmtId="0" fontId="0" fillId="0" borderId="0" xfId="0" applyAlignment="1">
      <alignment horizontal="center" vertical="center" wrapText="1"/>
    </xf>
    <xf numFmtId="2" fontId="0" fillId="0" borderId="0" xfId="0" applyNumberFormat="1"/>
    <xf numFmtId="44" fontId="0" fillId="0" borderId="0" xfId="0" applyNumberFormat="1"/>
    <xf numFmtId="0" fontId="0" fillId="0" borderId="0" xfId="0" applyAlignment="1">
      <alignment horizontal="center"/>
    </xf>
    <xf numFmtId="0" fontId="0" fillId="0" borderId="0" xfId="0" applyNumberFormat="1"/>
    <xf numFmtId="0" fontId="7" fillId="0" borderId="0" xfId="0" applyFont="1"/>
    <xf numFmtId="0" fontId="7" fillId="3" borderId="0" xfId="0" applyFont="1" applyFill="1"/>
    <xf numFmtId="0" fontId="0" fillId="3" borderId="0" xfId="0" applyFill="1"/>
    <xf numFmtId="0" fontId="9" fillId="0" borderId="0" xfId="0" applyFont="1"/>
    <xf numFmtId="0" fontId="8" fillId="0" borderId="2"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44" fontId="8"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Border="1"/>
    <xf numFmtId="0" fontId="0" fillId="0" borderId="6" xfId="0" applyBorder="1"/>
    <xf numFmtId="0" fontId="0" fillId="0" borderId="7" xfId="0" applyBorder="1"/>
    <xf numFmtId="165" fontId="0" fillId="0" borderId="0" xfId="1" applyNumberFormat="1" applyFont="1"/>
    <xf numFmtId="14" fontId="0" fillId="0" borderId="6" xfId="0" applyNumberFormat="1" applyBorder="1"/>
    <xf numFmtId="0" fontId="0" fillId="0" borderId="0" xfId="0" applyAlignment="1">
      <alignment horizontal="center" vertical="center" wrapText="1"/>
    </xf>
    <xf numFmtId="0" fontId="0" fillId="0" borderId="0" xfId="0" applyAlignment="1">
      <alignment horizontal="center"/>
    </xf>
    <xf numFmtId="0" fontId="10" fillId="0" borderId="0" xfId="3"/>
  </cellXfs>
  <cellStyles count="4">
    <cellStyle name="Lien hypertexte" xfId="3" builtinId="8"/>
    <cellStyle name="Milliers" xfId="1" builtinId="3"/>
    <cellStyle name="Monétaire" xfId="2" builtinId="4"/>
    <cellStyle name="Normal" xfId="0" builtinId="0"/>
  </cellStyles>
  <dxfs count="25">
    <dxf>
      <font>
        <b/>
        <i val="0"/>
        <color theme="9" tint="-0.499984740745262"/>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theme="9" tint="-0.499984740745262"/>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theme="9" tint="-0.499984740745262"/>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numFmt numFmtId="34" formatCode="_ * #,##0.00_)\ &quot;€&quot;_ ;_ * \(#,##0.00\)\ &quot;€&quot;_ ;_ * &quot;-&quot;??_)\ &quot;€&quot;_ ;_ @_ "/>
    </dxf>
    <dxf>
      <numFmt numFmtId="34" formatCode="_ * #,##0.00_)\ &quot;€&quot;_ ;_ * \(#,##0.00\)\ &quot;€&quot;_ ;_ * &quot;-&quot;??_)\ &quot;€&quot;_ ;_ @_ "/>
    </dxf>
    <dxf>
      <numFmt numFmtId="34" formatCode="_ * #,##0.00_)\ &quot;€&quot;_ ;_ * \(#,##0.00\)\ &quot;€&quot;_ ;_ * &quot;-&quot;??_)\ &quot;€&quot;_ ;_ @_ "/>
    </dxf>
    <dxf>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nuele Kirsch Pinheiro" refreshedDate="43863.730391203702" createdVersion="6" refreshedVersion="6" minRefreshableVersion="3" recordCount="28" xr:uid="{A4F67BC0-1B47-DA43-BB70-5EDC186D3B1F}">
  <cacheSource type="worksheet">
    <worksheetSource ref="A1:M29" sheet="Employés"/>
  </cacheSource>
  <cacheFields count="13">
    <cacheField name="NUMEMP" numFmtId="0">
      <sharedItems containsSemiMixedTypes="0" containsString="0" containsNumber="1" containsInteger="1" minValue="1" maxValue="28" count="28">
        <n v="1"/>
        <n v="2"/>
        <n v="3"/>
        <n v="4"/>
        <n v="5"/>
        <n v="6"/>
        <n v="7"/>
        <n v="8"/>
        <n v="9"/>
        <n v="10"/>
        <n v="11"/>
        <n v="12"/>
        <n v="13"/>
        <n v="14"/>
        <n v="15"/>
        <n v="16"/>
        <n v="17"/>
        <n v="18"/>
        <n v="19"/>
        <n v="20"/>
        <n v="21"/>
        <n v="22"/>
        <n v="23"/>
        <n v="24"/>
        <n v="25"/>
        <n v="26"/>
        <n v="27"/>
        <n v="28"/>
      </sharedItems>
    </cacheField>
    <cacheField name="NOM" numFmtId="0">
      <sharedItems/>
    </cacheField>
    <cacheField name="EMAIL" numFmtId="0">
      <sharedItems containsBlank="1"/>
    </cacheField>
    <cacheField name="SEXE" numFmtId="0">
      <sharedItems count="2">
        <s v="M"/>
        <s v="F"/>
      </sharedItems>
    </cacheField>
    <cacheField name="FONCTION" numFmtId="0">
      <sharedItems count="16">
        <s v="DIR COM"/>
        <s v="PDG"/>
        <s v="DG"/>
        <s v="INGENIEUR"/>
        <s v="TECHNICIEN"/>
        <s v="SECRETAIRE"/>
        <s v="VENDEUR"/>
        <s v="CHAUFFEUR"/>
        <s v="CHEF MONTEUR"/>
        <s v="DIR AGENCE"/>
        <s v="SOUS DIR"/>
        <s v="MONTEUR"/>
        <s v="DIR VENTES"/>
        <s v="DIR PRODUC"/>
        <s v="RESP RP"/>
        <s v="DIR TECH"/>
      </sharedItems>
    </cacheField>
    <cacheField name="AGENCE" numFmtId="0">
      <sharedItems count="6">
        <s v="PARIS"/>
        <s v="USINE"/>
        <s v="LILLE"/>
        <s v="NICE"/>
        <s v="LYON"/>
        <s v="RENNES"/>
      </sharedItems>
    </cacheField>
    <cacheField name="SALAIRE ACTUEL" numFmtId="164">
      <sharedItems containsSemiMixedTypes="0" containsString="0" containsNumber="1" minValue="1394.2987116533554" maxValue="39509.144654298987" count="20">
        <n v="2125.8038495951246"/>
        <n v="39509.144654298987"/>
        <n v="34860.974118730344"/>
        <n v="5112.8351401082691"/>
        <n v="3021.2346236109988"/>
        <n v="1859.1157652102197"/>
        <n v="5577.6521936651334"/>
        <n v="3718.3839794376768"/>
        <n v="3253.5669258808125"/>
        <n v="1626.7834629404063"/>
        <n v="2232.33230226981"/>
        <n v="2091.6005164972703"/>
        <n v="4648.0180865514048"/>
        <n v="1510.6173118054994"/>
        <n v="8831.3715685631832"/>
        <n v="1394.2987116533554"/>
        <n v="4183.2010329945406"/>
        <n v="5810.1369449521844"/>
        <n v="5345.3198913953202"/>
        <n v="6274.9539985090487"/>
      </sharedItems>
    </cacheField>
    <cacheField name="DIPLÔME" numFmtId="0">
      <sharedItems count="14">
        <s v="SANS"/>
        <s v="CENTRALE"/>
        <s v="HEC"/>
        <s v="MBA"/>
        <s v="DUT"/>
        <s v="BAC"/>
        <s v="DEA"/>
        <s v="LICENCE"/>
        <s v="BEP"/>
        <s v="ESSEC"/>
        <s v="MAITRISE"/>
        <s v="ESC"/>
        <s v="CNAM"/>
        <s v="SC PO"/>
      </sharedItems>
    </cacheField>
    <cacheField name="ANCIENNETE" numFmtId="0">
      <sharedItems containsSemiMixedTypes="0" containsString="0" containsNumber="1" containsInteger="1" minValue="3" maxValue="5" count="3">
        <n v="5"/>
        <n v="4"/>
        <n v="3"/>
      </sharedItems>
    </cacheField>
    <cacheField name="AGE" numFmtId="0">
      <sharedItems containsSemiMixedTypes="0" containsString="0" containsNumber="1" containsInteger="1" minValue="24" maxValue="44"/>
    </cacheField>
    <cacheField name="SITUATION FAMILIALE" numFmtId="0">
      <sharedItems/>
    </cacheField>
    <cacheField name="ENFANTS" numFmtId="0">
      <sharedItems containsSemiMixedTypes="0" containsString="0" containsNumber="1" containsInteger="1" minValue="0" maxValue="4"/>
    </cacheField>
    <cacheField name="Prime" numFmtId="44">
      <sharedItems containsSemiMixedTypes="0" containsString="0" containsNumber="1" minValue="45.318519354164984" maxValue="2125.4572327149494"/>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nuele Kirsch Pinheiro" refreshedDate="43863.743642824076" createdVersion="6" refreshedVersion="6" minRefreshableVersion="3" recordCount="47" xr:uid="{C8B0FC65-BE36-4645-8874-D4B9FD234E92}">
  <cacheSource type="worksheet">
    <worksheetSource ref="A1:G48" sheet="Ventes"/>
  </cacheSource>
  <cacheFields count="7">
    <cacheField name="CONTRAT" numFmtId="0">
      <sharedItems/>
    </cacheField>
    <cacheField name="DATE FACTURE" numFmtId="14">
      <sharedItems containsSemiMixedTypes="0" containsNonDate="0" containsDate="1" containsString="0" minDate="2020-01-03T00:00:00" maxDate="2020-09-28T00:00:00" count="39">
        <d v="2020-03-12T00:00:00"/>
        <d v="2020-02-04T00:00:00"/>
        <d v="2020-03-03T00:00:00"/>
        <d v="2020-03-31T00:00:00"/>
        <d v="2020-02-22T00:00:00"/>
        <d v="2020-07-09T00:00:00"/>
        <d v="2020-05-16T00:00:00"/>
        <d v="2020-07-27T00:00:00"/>
        <d v="2020-09-11T00:00:00"/>
        <d v="2020-04-28T00:00:00"/>
        <d v="2020-06-21T00:00:00"/>
        <d v="2020-06-30T00:00:00"/>
        <d v="2020-08-23T00:00:00"/>
        <d v="2020-09-01T00:00:00"/>
        <d v="2020-09-03T00:00:00"/>
        <d v="2020-09-05T00:00:00"/>
        <d v="2020-09-17T00:00:00"/>
        <d v="2020-09-19T00:00:00"/>
        <d v="2020-09-23T00:00:00"/>
        <d v="2020-09-25T00:00:00"/>
        <d v="2020-09-27T00:00:00"/>
        <d v="2020-06-03T00:00:00"/>
        <d v="2020-08-05T00:00:00"/>
        <d v="2020-09-13T00:00:00"/>
        <d v="2020-01-04T00:00:00"/>
        <d v="2020-01-03T00:00:00"/>
        <d v="2020-01-08T00:00:00"/>
        <d v="2020-04-09T00:00:00"/>
        <d v="2020-01-17T00:00:00"/>
        <d v="2020-06-12T00:00:00"/>
        <d v="2020-08-14T00:00:00"/>
        <d v="2020-09-15T00:00:00"/>
        <d v="2020-04-18T00:00:00"/>
        <d v="2020-03-21T00:00:00"/>
        <d v="2020-05-07T00:00:00"/>
        <d v="2020-07-18T00:00:00"/>
        <d v="2020-09-09T00:00:00"/>
        <d v="2020-02-13T00:00:00"/>
        <d v="2020-01-26T00:00:00"/>
      </sharedItems>
    </cacheField>
    <cacheField name="CODE CLIENT" numFmtId="0">
      <sharedItems/>
    </cacheField>
    <cacheField name="PRODUIT" numFmtId="0">
      <sharedItems count="4">
        <s v="MAQUETTE 3D"/>
        <s v="PROTOTYPAGE"/>
        <s v="HABILLEMENT"/>
        <s v="PUBLICITE"/>
      </sharedItems>
    </cacheField>
    <cacheField name="VENDEUR" numFmtId="0">
      <sharedItems containsSemiMixedTypes="0" containsString="0" containsNumber="1" containsInteger="1" minValue="7" maxValue="23" count="3">
        <n v="7"/>
        <n v="10"/>
        <n v="23"/>
      </sharedItems>
    </cacheField>
    <cacheField name="MONTANT" numFmtId="44">
      <sharedItems containsSemiMixedTypes="0" containsString="0" containsNumber="1" minValue="198.85" maxValue="9367.8700000000008" count="42">
        <n v="752.98"/>
        <n v="374.84"/>
        <n v="935.47"/>
        <n v="677.36"/>
        <n v="425.81"/>
        <n v="1607.89"/>
        <n v="1436.91"/>
        <n v="2250.7199999999998"/>
        <n v="428.41"/>
        <n v="246.46"/>
        <n v="3659.69"/>
        <n v="1459.92"/>
        <n v="7541.33"/>
        <n v="527.75"/>
        <n v="1051.0899999999999"/>
        <n v="3471.13"/>
        <n v="485.24"/>
        <n v="1709.07"/>
        <n v="431.49"/>
        <n v="198.85"/>
        <n v="750.88"/>
        <n v="671.04"/>
        <n v="9367.8700000000008"/>
        <n v="681.78"/>
        <n v="204.01"/>
        <n v="7853.7"/>
        <n v="923.97"/>
        <n v="7432.82"/>
        <n v="351.64"/>
        <n v="4374.79"/>
        <n v="391.28"/>
        <n v="203.86"/>
        <n v="739.83"/>
        <n v="606.66"/>
        <n v="1039.05"/>
        <n v="535.9"/>
        <n v="3667.68"/>
        <n v="917.38"/>
        <n v="348.55"/>
        <n v="1147.55"/>
        <n v="436.86"/>
        <n v="3521.8"/>
      </sharedItems>
    </cacheField>
    <cacheField name="NOM VENDEUR" numFmtId="0">
      <sharedItems count="3">
        <s v="BASCHET Françoise"/>
        <s v="GALOTTI Marc"/>
        <s v="POINCARE Charles"/>
      </sharedItems>
    </cacheField>
  </cacheFields>
  <extLst>
    <ext xmlns:x14="http://schemas.microsoft.com/office/spreadsheetml/2009/9/main" uri="{725AE2AE-9491-48be-B2B4-4EB974FC3084}">
      <x14:pivotCacheDefinition pivotCacheId="6103039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
  <r>
    <x v="0"/>
    <s v="BOUKO Charles"/>
    <s v="bouko@gmail.com"/>
    <x v="0"/>
    <x v="0"/>
    <x v="0"/>
    <x v="0"/>
    <x v="0"/>
    <x v="0"/>
    <n v="44"/>
    <s v="M"/>
    <n v="3"/>
    <n v="256.29019247975623"/>
  </r>
  <r>
    <x v="1"/>
    <s v="ROSPORTE Jacques"/>
    <s v="rosporte at gmail.com"/>
    <x v="0"/>
    <x v="1"/>
    <x v="0"/>
    <x v="1"/>
    <x v="1"/>
    <x v="0"/>
    <n v="36"/>
    <s v="M"/>
    <n v="3"/>
    <n v="2125.4572327149494"/>
  </r>
  <r>
    <x v="2"/>
    <s v="DELAPORTE Patrick"/>
    <s v="delaporte"/>
    <x v="0"/>
    <x v="2"/>
    <x v="0"/>
    <x v="2"/>
    <x v="2"/>
    <x v="0"/>
    <n v="33"/>
    <s v="M"/>
    <n v="3"/>
    <n v="1893.0487059365173"/>
  </r>
  <r>
    <x v="3"/>
    <s v="DREFFUS Charlie"/>
    <m/>
    <x v="0"/>
    <x v="3"/>
    <x v="1"/>
    <x v="3"/>
    <x v="3"/>
    <x v="1"/>
    <n v="39"/>
    <s v="M"/>
    <n v="2"/>
    <n v="304.51340560433073"/>
  </r>
  <r>
    <x v="4"/>
    <s v="NAUDEAU Cyril"/>
    <s v="c.naudeau@boite.fr"/>
    <x v="0"/>
    <x v="4"/>
    <x v="0"/>
    <x v="4"/>
    <x v="4"/>
    <x v="1"/>
    <n v="27"/>
    <s v="M"/>
    <n v="0"/>
    <n v="120.84938494443996"/>
  </r>
  <r>
    <x v="5"/>
    <s v="MARITTO Francesca"/>
    <s v="f.maritto "/>
    <x v="1"/>
    <x v="5"/>
    <x v="2"/>
    <x v="5"/>
    <x v="5"/>
    <x v="1"/>
    <n v="27"/>
    <s v="M"/>
    <n v="0"/>
    <n v="74.364630608408788"/>
  </r>
  <r>
    <x v="6"/>
    <s v="BASCHET Françoise"/>
    <s v="f.baschet "/>
    <x v="1"/>
    <x v="6"/>
    <x v="3"/>
    <x v="6"/>
    <x v="5"/>
    <x v="1"/>
    <n v="39"/>
    <s v="D"/>
    <n v="2"/>
    <n v="1327.0834826063294"/>
  </r>
  <r>
    <x v="7"/>
    <s v="GRASSET Franck"/>
    <s v="f.grasset@boite.fr"/>
    <x v="0"/>
    <x v="3"/>
    <x v="1"/>
    <x v="7"/>
    <x v="6"/>
    <x v="1"/>
    <n v="37"/>
    <s v="M"/>
    <n v="1"/>
    <n v="198.73535917750706"/>
  </r>
  <r>
    <x v="8"/>
    <s v="RUDEAU Jean Claude"/>
    <m/>
    <x v="0"/>
    <x v="4"/>
    <x v="0"/>
    <x v="8"/>
    <x v="4"/>
    <x v="1"/>
    <n v="31"/>
    <s v="M"/>
    <n v="2"/>
    <n v="230.14267703523251"/>
  </r>
  <r>
    <x v="9"/>
    <s v="GALOTTI Marc"/>
    <s v="galotti "/>
    <x v="0"/>
    <x v="6"/>
    <x v="4"/>
    <x v="3"/>
    <x v="7"/>
    <x v="1"/>
    <n v="31"/>
    <s v="C"/>
    <n v="1"/>
    <n v="868.05362241732303"/>
  </r>
  <r>
    <x v="10"/>
    <s v="DANO Rachel"/>
    <s v="r.dano@boite.fr"/>
    <x v="1"/>
    <x v="5"/>
    <x v="1"/>
    <x v="5"/>
    <x v="4"/>
    <x v="1"/>
    <n v="28"/>
    <s v="C"/>
    <n v="1"/>
    <n v="124.36463060840879"/>
  </r>
  <r>
    <x v="11"/>
    <s v="GLORI Raymond"/>
    <s v="glori "/>
    <x v="0"/>
    <x v="7"/>
    <x v="0"/>
    <x v="9"/>
    <x v="0"/>
    <x v="1"/>
    <n v="39"/>
    <s v="M"/>
    <n v="2"/>
    <n v="165.07133851761625"/>
  </r>
  <r>
    <x v="12"/>
    <s v="LECUYER Robert"/>
    <m/>
    <x v="0"/>
    <x v="8"/>
    <x v="1"/>
    <x v="10"/>
    <x v="0"/>
    <x v="1"/>
    <n v="35"/>
    <s v="C"/>
    <n v="0"/>
    <n v="89.293292090792406"/>
  </r>
  <r>
    <x v="13"/>
    <s v="CONTI Samanta"/>
    <m/>
    <x v="1"/>
    <x v="5"/>
    <x v="0"/>
    <x v="9"/>
    <x v="5"/>
    <x v="1"/>
    <n v="26"/>
    <s v="M"/>
    <n v="1"/>
    <n v="115.07133851761625"/>
  </r>
  <r>
    <x v="14"/>
    <s v="MINELLI Sophia"/>
    <s v="minelli.sophia@gmail.com"/>
    <x v="1"/>
    <x v="5"/>
    <x v="0"/>
    <x v="11"/>
    <x v="4"/>
    <x v="1"/>
    <n v="27"/>
    <s v="M"/>
    <n v="2"/>
    <n v="183.66402065989081"/>
  </r>
  <r>
    <x v="15"/>
    <s v="QUENISSET Thierry"/>
    <s v="quenisset"/>
    <x v="0"/>
    <x v="9"/>
    <x v="5"/>
    <x v="12"/>
    <x v="5"/>
    <x v="1"/>
    <n v="36"/>
    <s v="C"/>
    <n v="2"/>
    <n v="285.92072346205623"/>
  </r>
  <r>
    <x v="16"/>
    <s v="MANUE Zoe"/>
    <s v="z.manue@boite.fr  "/>
    <x v="1"/>
    <x v="10"/>
    <x v="2"/>
    <x v="8"/>
    <x v="4"/>
    <x v="1"/>
    <n v="32"/>
    <s v="M"/>
    <n v="2"/>
    <n v="230.14267703523251"/>
  </r>
  <r>
    <x v="17"/>
    <s v="VILLARD Alain"/>
    <s v="villard "/>
    <x v="0"/>
    <x v="11"/>
    <x v="1"/>
    <x v="13"/>
    <x v="8"/>
    <x v="2"/>
    <n v="24"/>
    <s v="M"/>
    <n v="0"/>
    <n v="45.318519354164984"/>
  </r>
  <r>
    <x v="18"/>
    <s v="DORMEUIL Albertine"/>
    <m/>
    <x v="1"/>
    <x v="5"/>
    <x v="0"/>
    <x v="9"/>
    <x v="4"/>
    <x v="2"/>
    <n v="25"/>
    <s v="M"/>
    <n v="2"/>
    <n v="148.80350388821219"/>
  </r>
  <r>
    <x v="19"/>
    <s v="LEGRAND Alex"/>
    <s v="legrand.alex@gmail.com"/>
    <x v="0"/>
    <x v="12"/>
    <x v="0"/>
    <x v="14"/>
    <x v="9"/>
    <x v="2"/>
    <n v="41"/>
    <s v="M"/>
    <n v="4"/>
    <n v="464.94114705689549"/>
  </r>
  <r>
    <x v="20"/>
    <s v="BATIHNE Bruno"/>
    <s v="batihne.bruno@boite.fr"/>
    <x v="0"/>
    <x v="11"/>
    <x v="1"/>
    <x v="15"/>
    <x v="8"/>
    <x v="2"/>
    <n v="30"/>
    <s v="M"/>
    <n v="2"/>
    <n v="141.82896134960066"/>
  </r>
  <r>
    <x v="21"/>
    <s v="LAMBEL Carl"/>
    <s v="lambel.carl@boite.fr"/>
    <x v="0"/>
    <x v="4"/>
    <x v="0"/>
    <x v="5"/>
    <x v="4"/>
    <x v="2"/>
    <n v="30"/>
    <s v="C"/>
    <n v="3"/>
    <n v="205.77347295630659"/>
  </r>
  <r>
    <x v="22"/>
    <s v="POINCARE Charles"/>
    <s v="poincare"/>
    <x v="0"/>
    <x v="6"/>
    <x v="5"/>
    <x v="16"/>
    <x v="10"/>
    <x v="2"/>
    <n v="29"/>
    <s v="C"/>
    <n v="1"/>
    <n v="426.48809296950861"/>
  </r>
  <r>
    <x v="23"/>
    <s v="DESCHAMPS Christophe"/>
    <m/>
    <x v="0"/>
    <x v="10"/>
    <x v="5"/>
    <x v="8"/>
    <x v="11"/>
    <x v="2"/>
    <n v="28"/>
    <s v="M"/>
    <n v="2"/>
    <n v="197.60700777642438"/>
  </r>
  <r>
    <x v="24"/>
    <s v="BAUDRY Claude"/>
    <m/>
    <x v="0"/>
    <x v="4"/>
    <x v="0"/>
    <x v="4"/>
    <x v="4"/>
    <x v="2"/>
    <n v="27"/>
    <s v="C"/>
    <n v="1"/>
    <n v="140.63703870832995"/>
  </r>
  <r>
    <x v="25"/>
    <s v="LEE David"/>
    <s v="lee.david@boite.fr"/>
    <x v="0"/>
    <x v="13"/>
    <x v="0"/>
    <x v="17"/>
    <x v="12"/>
    <x v="2"/>
    <n v="36"/>
    <s v="M"/>
    <n v="0"/>
    <n v="174.30410834856553"/>
  </r>
  <r>
    <x v="26"/>
    <s v="ACCORD Elisabeth"/>
    <s v="elisabeth"/>
    <x v="1"/>
    <x v="14"/>
    <x v="1"/>
    <x v="18"/>
    <x v="13"/>
    <x v="2"/>
    <n v="25"/>
    <s v="M"/>
    <n v="0"/>
    <n v="160.3595967418596"/>
  </r>
  <r>
    <x v="27"/>
    <s v="DOLLFUS Emmanuel"/>
    <m/>
    <x v="0"/>
    <x v="15"/>
    <x v="1"/>
    <x v="19"/>
    <x v="5"/>
    <x v="2"/>
    <n v="28"/>
    <s v="M"/>
    <n v="0"/>
    <n v="188.2486199552714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
  <r>
    <s v="FA-2020-0010"/>
    <x v="0"/>
    <s v="CLI009"/>
    <x v="0"/>
    <x v="0"/>
    <x v="0"/>
    <x v="0"/>
  </r>
  <r>
    <s v="FA-2020-0006"/>
    <x v="1"/>
    <s v="CLI038"/>
    <x v="0"/>
    <x v="1"/>
    <x v="1"/>
    <x v="1"/>
  </r>
  <r>
    <s v="FA-2020-0009"/>
    <x v="2"/>
    <s v="CLI098"/>
    <x v="1"/>
    <x v="0"/>
    <x v="2"/>
    <x v="0"/>
  </r>
  <r>
    <s v="FA-2020-0012"/>
    <x v="3"/>
    <s v="CLI114"/>
    <x v="2"/>
    <x v="2"/>
    <x v="0"/>
    <x v="2"/>
  </r>
  <r>
    <s v="FA-2020-0008"/>
    <x v="4"/>
    <s v="CLI115"/>
    <x v="0"/>
    <x v="0"/>
    <x v="3"/>
    <x v="0"/>
  </r>
  <r>
    <s v="FA-2020-0027"/>
    <x v="5"/>
    <s v="CLI145"/>
    <x v="1"/>
    <x v="0"/>
    <x v="4"/>
    <x v="0"/>
  </r>
  <r>
    <s v="FA-2020-0028"/>
    <x v="5"/>
    <s v="CLI145"/>
    <x v="0"/>
    <x v="1"/>
    <x v="5"/>
    <x v="1"/>
  </r>
  <r>
    <s v="FA-2020-0029"/>
    <x v="5"/>
    <s v="CLI163"/>
    <x v="3"/>
    <x v="0"/>
    <x v="6"/>
    <x v="0"/>
  </r>
  <r>
    <s v="FA-2020-0017"/>
    <x v="6"/>
    <s v="CLI204"/>
    <x v="0"/>
    <x v="1"/>
    <x v="7"/>
    <x v="1"/>
  </r>
  <r>
    <s v="FA-2020-0031"/>
    <x v="7"/>
    <s v="CLI204"/>
    <x v="1"/>
    <x v="0"/>
    <x v="8"/>
    <x v="0"/>
  </r>
  <r>
    <s v="FA-2020-0040"/>
    <x v="8"/>
    <s v="CLI204"/>
    <x v="2"/>
    <x v="1"/>
    <x v="9"/>
    <x v="1"/>
  </r>
  <r>
    <s v="FA-2020-0015"/>
    <x v="9"/>
    <s v="CLI206"/>
    <x v="1"/>
    <x v="1"/>
    <x v="0"/>
    <x v="1"/>
  </r>
  <r>
    <s v="FA-2020-0020"/>
    <x v="10"/>
    <s v="CLI206"/>
    <x v="0"/>
    <x v="2"/>
    <x v="10"/>
    <x v="2"/>
  </r>
  <r>
    <s v="FA-2020-0021"/>
    <x v="11"/>
    <s v="CLI206"/>
    <x v="3"/>
    <x v="0"/>
    <x v="11"/>
    <x v="0"/>
  </r>
  <r>
    <s v="FA-2020-0022"/>
    <x v="11"/>
    <s v="CLI206"/>
    <x v="0"/>
    <x v="1"/>
    <x v="12"/>
    <x v="1"/>
  </r>
  <r>
    <s v="FA-2020-0023"/>
    <x v="11"/>
    <s v="CLI206"/>
    <x v="2"/>
    <x v="0"/>
    <x v="13"/>
    <x v="0"/>
  </r>
  <r>
    <s v="FA-2020-0034"/>
    <x v="12"/>
    <s v="CLI206"/>
    <x v="1"/>
    <x v="0"/>
    <x v="14"/>
    <x v="0"/>
  </r>
  <r>
    <s v="FA-2020-0035"/>
    <x v="13"/>
    <s v="CLI206"/>
    <x v="0"/>
    <x v="2"/>
    <x v="15"/>
    <x v="2"/>
  </r>
  <r>
    <s v="FA-2020-0036"/>
    <x v="14"/>
    <s v="CLI206"/>
    <x v="2"/>
    <x v="0"/>
    <x v="16"/>
    <x v="0"/>
  </r>
  <r>
    <s v="FA-2020-0037"/>
    <x v="15"/>
    <s v="CLI206"/>
    <x v="0"/>
    <x v="1"/>
    <x v="17"/>
    <x v="1"/>
  </r>
  <r>
    <s v="FA-2020-0043"/>
    <x v="16"/>
    <s v="CLI206"/>
    <x v="1"/>
    <x v="0"/>
    <x v="18"/>
    <x v="0"/>
  </r>
  <r>
    <s v="FA-2020-0044"/>
    <x v="17"/>
    <s v="CLI206"/>
    <x v="2"/>
    <x v="0"/>
    <x v="19"/>
    <x v="0"/>
  </r>
  <r>
    <s v="FA-2020-0045"/>
    <x v="18"/>
    <s v="CLI206"/>
    <x v="0"/>
    <x v="2"/>
    <x v="20"/>
    <x v="2"/>
  </r>
  <r>
    <s v="FA-2020-0046"/>
    <x v="19"/>
    <s v="CLI206"/>
    <x v="3"/>
    <x v="0"/>
    <x v="21"/>
    <x v="0"/>
  </r>
  <r>
    <s v="FA-2020-0024"/>
    <x v="11"/>
    <s v="CLI209"/>
    <x v="1"/>
    <x v="2"/>
    <x v="22"/>
    <x v="2"/>
  </r>
  <r>
    <s v="FA-2020-0038"/>
    <x v="15"/>
    <s v="CLI209"/>
    <x v="0"/>
    <x v="0"/>
    <x v="23"/>
    <x v="0"/>
  </r>
  <r>
    <s v="FA-2020-0047"/>
    <x v="20"/>
    <s v="CLI209"/>
    <x v="1"/>
    <x v="1"/>
    <x v="24"/>
    <x v="1"/>
  </r>
  <r>
    <s v="FA-2020-0025"/>
    <x v="11"/>
    <s v="CLI212"/>
    <x v="0"/>
    <x v="1"/>
    <x v="25"/>
    <x v="1"/>
  </r>
  <r>
    <s v="FA-2020-0026"/>
    <x v="5"/>
    <s v="CLI219"/>
    <x v="2"/>
    <x v="1"/>
    <x v="26"/>
    <x v="1"/>
  </r>
  <r>
    <s v="FA-2020-0018"/>
    <x v="21"/>
    <s v="CLI222"/>
    <x v="0"/>
    <x v="1"/>
    <x v="27"/>
    <x v="1"/>
  </r>
  <r>
    <s v="FA-2020-0032"/>
    <x v="22"/>
    <s v="CLI222"/>
    <x v="3"/>
    <x v="1"/>
    <x v="28"/>
    <x v="1"/>
  </r>
  <r>
    <s v="FA-2020-0041"/>
    <x v="23"/>
    <s v="CLI222"/>
    <x v="0"/>
    <x v="2"/>
    <x v="29"/>
    <x v="2"/>
  </r>
  <r>
    <s v="FA-2020-0002"/>
    <x v="24"/>
    <s v="CLI228"/>
    <x v="0"/>
    <x v="0"/>
    <x v="30"/>
    <x v="0"/>
  </r>
  <r>
    <s v="FA-2020-0001"/>
    <x v="25"/>
    <s v="CLI232"/>
    <x v="2"/>
    <x v="0"/>
    <x v="31"/>
    <x v="0"/>
  </r>
  <r>
    <s v="FA-2020-0003"/>
    <x v="26"/>
    <s v="CLI232"/>
    <x v="3"/>
    <x v="1"/>
    <x v="32"/>
    <x v="1"/>
  </r>
  <r>
    <s v="FA-2020-0013"/>
    <x v="27"/>
    <s v="CLI232"/>
    <x v="0"/>
    <x v="0"/>
    <x v="2"/>
    <x v="0"/>
  </r>
  <r>
    <s v="FA-2020-0004"/>
    <x v="28"/>
    <s v="CLI235"/>
    <x v="0"/>
    <x v="2"/>
    <x v="33"/>
    <x v="2"/>
  </r>
  <r>
    <s v="FA-2020-0019"/>
    <x v="29"/>
    <s v="CLI300"/>
    <x v="1"/>
    <x v="0"/>
    <x v="34"/>
    <x v="0"/>
  </r>
  <r>
    <s v="FA-2020-0033"/>
    <x v="30"/>
    <s v="CLI300"/>
    <x v="2"/>
    <x v="2"/>
    <x v="35"/>
    <x v="2"/>
  </r>
  <r>
    <s v="FA-2020-0042"/>
    <x v="31"/>
    <s v="CLI300"/>
    <x v="0"/>
    <x v="1"/>
    <x v="36"/>
    <x v="1"/>
  </r>
  <r>
    <s v="FA-2020-0014"/>
    <x v="32"/>
    <s v="CLI312"/>
    <x v="0"/>
    <x v="1"/>
    <x v="37"/>
    <x v="1"/>
  </r>
  <r>
    <s v="FA-2020-0011"/>
    <x v="33"/>
    <s v="CLI334"/>
    <x v="3"/>
    <x v="0"/>
    <x v="38"/>
    <x v="0"/>
  </r>
  <r>
    <s v="FA-2020-0016"/>
    <x v="34"/>
    <s v="CLI403"/>
    <x v="1"/>
    <x v="0"/>
    <x v="39"/>
    <x v="0"/>
  </r>
  <r>
    <s v="FA-2020-0030"/>
    <x v="35"/>
    <s v="CLI403"/>
    <x v="1"/>
    <x v="2"/>
    <x v="40"/>
    <x v="2"/>
  </r>
  <r>
    <s v="FA-2020-0039"/>
    <x v="36"/>
    <s v="CLI403"/>
    <x v="0"/>
    <x v="0"/>
    <x v="41"/>
    <x v="0"/>
  </r>
  <r>
    <s v="FA-2020-0007"/>
    <x v="37"/>
    <s v="CLI512"/>
    <x v="0"/>
    <x v="1"/>
    <x v="2"/>
    <x v="1"/>
  </r>
  <r>
    <s v="FA-2020-0005"/>
    <x v="38"/>
    <s v="CLI520"/>
    <x v="1"/>
    <x v="0"/>
    <x v="3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E885490-F3F3-3742-A2C6-244E7EEDEB98}" name="Tableau croisé dynamique5" cacheId="1" applyNumberFormats="0" applyBorderFormats="0" applyFontFormats="0" applyPatternFormats="0" applyAlignmentFormats="0" applyWidthHeightFormats="1" dataCaption="Valeurs" updatedVersion="6" minRefreshableVersion="3" useAutoFormatting="1" itemPrintTitles="1" createdVersion="6" indent="0" outline="1" outlineData="1" multipleFieldFilters="0" chartFormat="1" rowHeaderCaption="Vendeur" colHeaderCaption="Produits">
  <location ref="A45:F50" firstHeaderRow="1" firstDataRow="2" firstDataCol="1"/>
  <pivotFields count="7">
    <pivotField showAll="0"/>
    <pivotField showAll="0"/>
    <pivotField showAll="0"/>
    <pivotField axis="axisCol" showAll="0">
      <items count="5">
        <item x="2"/>
        <item x="0"/>
        <item x="1"/>
        <item x="3"/>
        <item t="default"/>
      </items>
    </pivotField>
    <pivotField showAll="0"/>
    <pivotField dataField="1" showAll="0">
      <items count="43">
        <item x="19"/>
        <item x="31"/>
        <item x="24"/>
        <item x="9"/>
        <item x="38"/>
        <item x="28"/>
        <item x="1"/>
        <item x="30"/>
        <item x="4"/>
        <item x="8"/>
        <item x="18"/>
        <item x="40"/>
        <item x="16"/>
        <item x="13"/>
        <item x="35"/>
        <item x="33"/>
        <item x="21"/>
        <item x="3"/>
        <item x="23"/>
        <item x="32"/>
        <item x="20"/>
        <item x="0"/>
        <item x="37"/>
        <item x="26"/>
        <item x="2"/>
        <item x="34"/>
        <item x="14"/>
        <item x="39"/>
        <item x="6"/>
        <item x="11"/>
        <item x="5"/>
        <item x="17"/>
        <item x="7"/>
        <item x="15"/>
        <item x="41"/>
        <item x="10"/>
        <item x="36"/>
        <item x="29"/>
        <item x="27"/>
        <item x="12"/>
        <item x="25"/>
        <item x="22"/>
        <item t="default"/>
      </items>
    </pivotField>
    <pivotField axis="axisRow" showAll="0">
      <items count="4">
        <item x="0"/>
        <item x="1"/>
        <item x="2"/>
        <item t="default"/>
      </items>
    </pivotField>
  </pivotFields>
  <rowFields count="1">
    <field x="6"/>
  </rowFields>
  <rowItems count="4">
    <i>
      <x/>
    </i>
    <i>
      <x v="1"/>
    </i>
    <i>
      <x v="2"/>
    </i>
    <i t="grand">
      <x/>
    </i>
  </rowItems>
  <colFields count="1">
    <field x="3"/>
  </colFields>
  <colItems count="5">
    <i>
      <x/>
    </i>
    <i>
      <x v="1"/>
    </i>
    <i>
      <x v="2"/>
    </i>
    <i>
      <x v="3"/>
    </i>
    <i t="grand">
      <x/>
    </i>
  </colItems>
  <dataFields count="1">
    <dataField name="Somme de MONTANT" fld="5" baseField="0" baseItem="0"/>
  </dataFields>
  <chartFormats count="1">
    <chartFormat chart="0" format="5"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22FB2C9-C1A2-9747-9C10-1E408A59BD9E}" name="Tableau croisé dynamique4" cacheId="0" applyNumberFormats="0" applyBorderFormats="0" applyFontFormats="0" applyPatternFormats="0" applyAlignmentFormats="0" applyWidthHeightFormats="1" dataCaption="Valeurs" updatedVersion="6" minRefreshableVersion="3" itemPrintTitles="1" createdVersion="6" indent="0" outline="1" outlineData="1" multipleFieldFilters="0" chartFormat="2" rowHeaderCaption="Fonctions" colHeaderCaption="Ancienneté">
  <location ref="A20:E38" firstHeaderRow="1" firstDataRow="2" firstDataCol="1" rowPageCount="1" colPageCount="1"/>
  <pivotFields count="13">
    <pivotField showAll="0"/>
    <pivotField showAll="0"/>
    <pivotField showAll="0"/>
    <pivotField showAll="0"/>
    <pivotField axis="axisRow" showAll="0">
      <items count="17">
        <item x="7"/>
        <item x="8"/>
        <item x="2"/>
        <item x="9"/>
        <item x="0"/>
        <item x="13"/>
        <item x="15"/>
        <item x="12"/>
        <item x="3"/>
        <item x="11"/>
        <item x="1"/>
        <item x="14"/>
        <item x="5"/>
        <item x="10"/>
        <item x="4"/>
        <item x="6"/>
        <item t="default"/>
      </items>
    </pivotField>
    <pivotField axis="axisPage" showAll="0">
      <items count="7">
        <item x="3"/>
        <item x="2"/>
        <item x="4"/>
        <item x="0"/>
        <item x="5"/>
        <item x="1"/>
        <item t="default"/>
      </items>
    </pivotField>
    <pivotField numFmtId="164" showAll="0">
      <items count="21">
        <item x="15"/>
        <item x="13"/>
        <item x="9"/>
        <item x="5"/>
        <item x="11"/>
        <item x="0"/>
        <item x="10"/>
        <item x="4"/>
        <item x="8"/>
        <item x="7"/>
        <item x="16"/>
        <item x="12"/>
        <item x="3"/>
        <item x="18"/>
        <item x="6"/>
        <item x="17"/>
        <item x="19"/>
        <item x="14"/>
        <item x="2"/>
        <item x="1"/>
        <item t="default"/>
      </items>
    </pivotField>
    <pivotField showAll="0"/>
    <pivotField axis="axisCol" showAll="0">
      <items count="4">
        <item x="2"/>
        <item x="1"/>
        <item x="0"/>
        <item t="default"/>
      </items>
    </pivotField>
    <pivotField showAll="0"/>
    <pivotField showAll="0"/>
    <pivotField showAll="0"/>
    <pivotField dataField="1" numFmtId="44" showAll="0"/>
  </pivotFields>
  <rowFields count="1">
    <field x="4"/>
  </rowFields>
  <rowItems count="17">
    <i>
      <x/>
    </i>
    <i>
      <x v="1"/>
    </i>
    <i>
      <x v="2"/>
    </i>
    <i>
      <x v="3"/>
    </i>
    <i>
      <x v="4"/>
    </i>
    <i>
      <x v="5"/>
    </i>
    <i>
      <x v="6"/>
    </i>
    <i>
      <x v="7"/>
    </i>
    <i>
      <x v="8"/>
    </i>
    <i>
      <x v="9"/>
    </i>
    <i>
      <x v="10"/>
    </i>
    <i>
      <x v="11"/>
    </i>
    <i>
      <x v="12"/>
    </i>
    <i>
      <x v="13"/>
    </i>
    <i>
      <x v="14"/>
    </i>
    <i>
      <x v="15"/>
    </i>
    <i t="grand">
      <x/>
    </i>
  </rowItems>
  <colFields count="1">
    <field x="8"/>
  </colFields>
  <colItems count="4">
    <i>
      <x/>
    </i>
    <i>
      <x v="1"/>
    </i>
    <i>
      <x v="2"/>
    </i>
    <i t="grand">
      <x/>
    </i>
  </colItems>
  <pageFields count="1">
    <pageField fld="5" hier="-1"/>
  </pageFields>
  <dataFields count="1">
    <dataField name="Moy Prime" fld="12" subtotal="average" baseField="0" baseItem="0"/>
  </dataFields>
  <formats count="1">
    <format dxfId="2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18DD6E-2699-0645-8733-F0EA699E027A}" name="Tableau croisé dynamique3" cacheId="0" applyNumberFormats="0" applyBorderFormats="0" applyFontFormats="0" applyPatternFormats="0" applyAlignmentFormats="0" applyWidthHeightFormats="1" dataCaption="Valeurs" updatedVersion="6" minRefreshableVersion="3" useAutoFormatting="1" itemPrintTitles="1" mergeItem="1" createdVersion="6" indent="0" outline="1" outlineData="1" multipleFieldFilters="0" rowHeaderCaption="Agence" colHeaderCaption="Sexe">
  <location ref="A3:J12" firstHeaderRow="1" firstDataRow="3" firstDataCol="1" rowPageCount="1" colPageCount="1"/>
  <pivotFields count="13">
    <pivotField dataField="1" showAll="0">
      <items count="29">
        <item x="0"/>
        <item x="1"/>
        <item x="2"/>
        <item x="3"/>
        <item x="4"/>
        <item x="5"/>
        <item x="6"/>
        <item x="7"/>
        <item x="8"/>
        <item x="9"/>
        <item x="10"/>
        <item x="11"/>
        <item x="12"/>
        <item x="13"/>
        <item x="14"/>
        <item x="15"/>
        <item x="16"/>
        <item x="17"/>
        <item x="18"/>
        <item x="19"/>
        <item x="20"/>
        <item x="21"/>
        <item x="22"/>
        <item x="23"/>
        <item x="24"/>
        <item x="25"/>
        <item x="26"/>
        <item x="27"/>
        <item t="default"/>
      </items>
    </pivotField>
    <pivotField showAll="0"/>
    <pivotField showAll="0"/>
    <pivotField axis="axisCol" showAll="0">
      <items count="3">
        <item x="1"/>
        <item x="0"/>
        <item t="default"/>
      </items>
    </pivotField>
    <pivotField showAll="0"/>
    <pivotField axis="axisRow" showAll="0">
      <items count="7">
        <item x="3"/>
        <item x="2"/>
        <item x="4"/>
        <item x="0"/>
        <item x="5"/>
        <item x="1"/>
        <item t="default"/>
      </items>
    </pivotField>
    <pivotField dataField="1" numFmtId="164" showAll="0">
      <items count="21">
        <item x="15"/>
        <item x="13"/>
        <item x="9"/>
        <item x="5"/>
        <item x="11"/>
        <item x="0"/>
        <item x="10"/>
        <item x="4"/>
        <item x="8"/>
        <item x="7"/>
        <item x="16"/>
        <item x="12"/>
        <item x="3"/>
        <item x="18"/>
        <item x="6"/>
        <item x="17"/>
        <item x="19"/>
        <item x="14"/>
        <item x="2"/>
        <item x="1"/>
        <item t="default"/>
      </items>
    </pivotField>
    <pivotField axis="axisPage" showAll="0">
      <items count="15">
        <item x="5"/>
        <item x="8"/>
        <item x="1"/>
        <item x="12"/>
        <item x="6"/>
        <item x="4"/>
        <item x="11"/>
        <item x="9"/>
        <item x="2"/>
        <item x="7"/>
        <item x="10"/>
        <item x="3"/>
        <item x="0"/>
        <item x="13"/>
        <item t="default"/>
      </items>
    </pivotField>
    <pivotField dataField="1" showAll="0">
      <items count="4">
        <item x="2"/>
        <item x="1"/>
        <item x="0"/>
        <item t="default"/>
      </items>
    </pivotField>
    <pivotField showAll="0"/>
    <pivotField showAll="0"/>
    <pivotField showAll="0"/>
    <pivotField numFmtId="44" showAll="0"/>
  </pivotFields>
  <rowFields count="1">
    <field x="5"/>
  </rowFields>
  <rowItems count="7">
    <i>
      <x/>
    </i>
    <i>
      <x v="1"/>
    </i>
    <i>
      <x v="2"/>
    </i>
    <i>
      <x v="3"/>
    </i>
    <i>
      <x v="4"/>
    </i>
    <i>
      <x v="5"/>
    </i>
    <i t="grand">
      <x/>
    </i>
  </rowItems>
  <colFields count="2">
    <field x="3"/>
    <field x="-2"/>
  </colFields>
  <colItems count="9">
    <i>
      <x/>
      <x/>
    </i>
    <i r="1" i="1">
      <x v="1"/>
    </i>
    <i r="1" i="2">
      <x v="2"/>
    </i>
    <i>
      <x v="1"/>
      <x/>
    </i>
    <i r="1" i="1">
      <x v="1"/>
    </i>
    <i r="1" i="2">
      <x v="2"/>
    </i>
    <i t="grand">
      <x/>
    </i>
    <i t="grand" i="1">
      <x/>
    </i>
    <i t="grand" i="2">
      <x/>
    </i>
  </colItems>
  <pageFields count="1">
    <pageField fld="7" hier="-1"/>
  </pageFields>
  <dataFields count="3">
    <dataField name="Moy SALAIRE" fld="6" subtotal="average" baseField="0" baseItem="0"/>
    <dataField name="Moy ANCIENNETE" fld="8" subtotal="average" baseField="0" baseItem="0"/>
    <dataField name="Nb Employés" fld="0" subtotal="count" baseField="0" baseItem="0"/>
  </dataFields>
  <formats count="3">
    <format dxfId="24">
      <pivotArea outline="0" collapsedLevelsAreSubtotals="1" fieldPosition="0"/>
    </format>
    <format dxfId="23">
      <pivotArea outline="0" collapsedLevelsAreSubtotals="1" fieldPosition="0">
        <references count="2">
          <reference field="4294967294" count="1" selected="0">
            <x v="0"/>
          </reference>
          <reference field="3" count="1" selected="0">
            <x v="0"/>
          </reference>
        </references>
      </pivotArea>
    </format>
    <format dxfId="22">
      <pivotArea field="3" grandCol="1" outline="0" collapsedLevelsAreSubtotals="1" axis="axisCol" fieldPosition="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61FBC-9533-DA49-A08D-5AB369F6B662}" name="Produits" displayName="Produits" ref="A1:B5" totalsRowShown="0">
  <autoFilter ref="A1:B5" xr:uid="{C957A4F2-6773-0C4A-9D07-5F2FD96EE7C4}"/>
  <tableColumns count="2">
    <tableColumn id="1" xr3:uid="{D0A3A17E-C042-A64E-B864-8753FAC4A785}" name="PRODUIT"/>
    <tableColumn id="2" xr3:uid="{A3B34F86-E10A-3948-A46E-6427F2B21651}" name="NB Contrat">
      <calculatedColumnFormula>COUNTIF(Ventes!D:D,Produits!$A2)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bouko@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09549-BCD3-8242-BAEC-43D322358E4A}">
  <dimension ref="A1:R30"/>
  <sheetViews>
    <sheetView tabSelected="1" topLeftCell="C1" workbookViewId="0">
      <selection activeCell="D2" sqref="D2"/>
    </sheetView>
  </sheetViews>
  <sheetFormatPr baseColWidth="10" defaultRowHeight="16"/>
  <cols>
    <col min="1" max="1" width="10.83203125" style="1"/>
    <col min="2" max="3" width="22.1640625" customWidth="1"/>
    <col min="5" max="5" width="14.6640625" customWidth="1"/>
    <col min="13" max="13" width="13.6640625" style="14" customWidth="1"/>
    <col min="15" max="15" width="12" customWidth="1"/>
  </cols>
  <sheetData>
    <row r="1" spans="1:18" s="6" customFormat="1">
      <c r="A1" s="4" t="s">
        <v>78</v>
      </c>
      <c r="B1" s="4" t="s">
        <v>0</v>
      </c>
      <c r="C1" s="4" t="s">
        <v>79</v>
      </c>
      <c r="D1" s="4" t="s">
        <v>1</v>
      </c>
      <c r="E1" s="4" t="s">
        <v>2</v>
      </c>
      <c r="F1" s="4" t="s">
        <v>3</v>
      </c>
      <c r="G1" s="5" t="s">
        <v>4</v>
      </c>
      <c r="H1" s="4" t="s">
        <v>5</v>
      </c>
      <c r="I1" s="4" t="s">
        <v>6</v>
      </c>
      <c r="J1" s="4" t="s">
        <v>7</v>
      </c>
      <c r="K1" s="7" t="s">
        <v>8</v>
      </c>
      <c r="L1" s="4" t="s">
        <v>9</v>
      </c>
      <c r="M1" s="13" t="s">
        <v>132</v>
      </c>
      <c r="N1" s="6" t="s">
        <v>197</v>
      </c>
      <c r="O1" s="6" t="s">
        <v>205</v>
      </c>
      <c r="P1" s="6" t="s">
        <v>206</v>
      </c>
    </row>
    <row r="2" spans="1:18">
      <c r="A2" s="1">
        <v>1</v>
      </c>
      <c r="B2" t="s">
        <v>10</v>
      </c>
      <c r="C2" s="39" t="s">
        <v>80</v>
      </c>
      <c r="D2" s="1" t="s">
        <v>11</v>
      </c>
      <c r="E2" t="s">
        <v>12</v>
      </c>
      <c r="F2" s="1" t="s">
        <v>13</v>
      </c>
      <c r="G2" s="2">
        <v>2125.8038495951246</v>
      </c>
      <c r="H2" t="s">
        <v>14</v>
      </c>
      <c r="I2" s="1">
        <v>5</v>
      </c>
      <c r="J2" s="1">
        <v>44</v>
      </c>
      <c r="K2" s="1" t="s">
        <v>11</v>
      </c>
      <c r="L2" s="1">
        <v>3</v>
      </c>
      <c r="M2" s="14">
        <f>IF($E2="VENDEUR",
       $G2*( COUNTIF(Ventes!$E:$E,Employés!$A2) / 100),
       $G2*( $I2/100) ) + $L2*50</f>
        <v>256.29019247975623</v>
      </c>
      <c r="N2">
        <f>COUNTIF(Ventes!$E:$E,Employés!$A2)</f>
        <v>0</v>
      </c>
      <c r="O2" t="b">
        <f>AND(ISNUMBER(SEARCH("@",$C2)),(LEN($C2)&gt;1))</f>
        <v>1</v>
      </c>
      <c r="P2" t="b">
        <f>SEARCH("@",C2)&gt;0</f>
        <v>1</v>
      </c>
      <c r="Q2" t="b">
        <f>ISNUMBER(SEARCH("@", C2))</f>
        <v>1</v>
      </c>
      <c r="R2" t="b">
        <f>LEN(C2)&gt;1</f>
        <v>1</v>
      </c>
    </row>
    <row r="3" spans="1:18">
      <c r="A3" s="1">
        <v>2</v>
      </c>
      <c r="B3" t="s">
        <v>15</v>
      </c>
      <c r="C3" t="s">
        <v>81</v>
      </c>
      <c r="D3" s="1" t="s">
        <v>11</v>
      </c>
      <c r="E3" t="s">
        <v>16</v>
      </c>
      <c r="F3" s="1" t="s">
        <v>13</v>
      </c>
      <c r="G3" s="2">
        <v>39509.144654298987</v>
      </c>
      <c r="H3" t="s">
        <v>17</v>
      </c>
      <c r="I3" s="1">
        <v>5</v>
      </c>
      <c r="J3" s="1">
        <v>36</v>
      </c>
      <c r="K3" s="1" t="s">
        <v>11</v>
      </c>
      <c r="L3" s="1">
        <v>3</v>
      </c>
      <c r="M3" s="14">
        <f>IF($E3="VENDEUR",
       $G3*( COUNTIF(Ventes!$E:$E,Employés!$A3) / 100),
       $G3*( $I3/100) ) + $L3*50</f>
        <v>2125.4572327149494</v>
      </c>
      <c r="N3">
        <f>COUNTIF(Ventes!$E:$E,Employés!$A3)</f>
        <v>0</v>
      </c>
      <c r="O3" t="b">
        <f t="shared" ref="O3:O30" si="0">AND(ISNUMBER(SEARCH("@",$C3)),(LEN($C3)&gt;1))</f>
        <v>0</v>
      </c>
      <c r="P3" t="e">
        <f t="shared" ref="P3:P30" si="1">SEARCH("@",C3)&gt;0</f>
        <v>#VALUE!</v>
      </c>
      <c r="Q3" t="b">
        <f t="shared" ref="Q3:Q30" si="2">ISNUMBER(SEARCH("@", C3))</f>
        <v>0</v>
      </c>
      <c r="R3" t="b">
        <f t="shared" ref="R3:R30" si="3">LEN(C3)&gt;1</f>
        <v>1</v>
      </c>
    </row>
    <row r="4" spans="1:18">
      <c r="A4" s="1">
        <v>3</v>
      </c>
      <c r="B4" t="s">
        <v>18</v>
      </c>
      <c r="C4" t="s">
        <v>82</v>
      </c>
      <c r="D4" s="1" t="s">
        <v>11</v>
      </c>
      <c r="E4" t="s">
        <v>19</v>
      </c>
      <c r="F4" s="1" t="s">
        <v>13</v>
      </c>
      <c r="G4" s="2">
        <v>34860.974118730344</v>
      </c>
      <c r="H4" t="s">
        <v>20</v>
      </c>
      <c r="I4" s="1">
        <v>5</v>
      </c>
      <c r="J4" s="1">
        <v>33</v>
      </c>
      <c r="K4" s="1" t="s">
        <v>11</v>
      </c>
      <c r="L4" s="1">
        <v>3</v>
      </c>
      <c r="M4" s="14">
        <f>IF($E4="VENDEUR",
       $G4*( COUNTIF(Ventes!$E:$E,Employés!$A4) / 100),
       $G4*( $I4/100) ) + $L4*50</f>
        <v>1893.0487059365173</v>
      </c>
      <c r="N4">
        <f>COUNTIF(Ventes!$E:$E,Employés!$A4)</f>
        <v>0</v>
      </c>
      <c r="O4" t="b">
        <f t="shared" si="0"/>
        <v>0</v>
      </c>
      <c r="P4" t="e">
        <f t="shared" si="1"/>
        <v>#VALUE!</v>
      </c>
      <c r="Q4" t="b">
        <f t="shared" si="2"/>
        <v>0</v>
      </c>
      <c r="R4" t="b">
        <f t="shared" si="3"/>
        <v>1</v>
      </c>
    </row>
    <row r="5" spans="1:18">
      <c r="A5" s="1">
        <v>4</v>
      </c>
      <c r="B5" t="s">
        <v>21</v>
      </c>
      <c r="D5" s="1" t="s">
        <v>11</v>
      </c>
      <c r="E5" t="s">
        <v>22</v>
      </c>
      <c r="F5" s="1" t="s">
        <v>23</v>
      </c>
      <c r="G5" s="2">
        <v>5112.8351401082691</v>
      </c>
      <c r="H5" t="s">
        <v>24</v>
      </c>
      <c r="I5" s="1">
        <v>4</v>
      </c>
      <c r="J5" s="1">
        <v>39</v>
      </c>
      <c r="K5" s="1" t="s">
        <v>11</v>
      </c>
      <c r="L5" s="1">
        <v>2</v>
      </c>
      <c r="M5" s="14">
        <f>IF($E5="VENDEUR",
       $G5*( COUNTIF(Ventes!$E:$E,Employés!$A5) / 100),
       $G5*( $I5/100) ) + $L5*50</f>
        <v>304.51340560433073</v>
      </c>
      <c r="N5">
        <f>COUNTIF(Ventes!$E:$E,Employés!$A5)</f>
        <v>0</v>
      </c>
      <c r="O5" t="b">
        <f t="shared" si="0"/>
        <v>0</v>
      </c>
      <c r="P5" t="e">
        <f t="shared" si="1"/>
        <v>#VALUE!</v>
      </c>
      <c r="Q5" t="b">
        <f t="shared" si="2"/>
        <v>0</v>
      </c>
      <c r="R5" t="b">
        <f t="shared" si="3"/>
        <v>0</v>
      </c>
    </row>
    <row r="6" spans="1:18">
      <c r="A6" s="1">
        <v>5</v>
      </c>
      <c r="B6" t="s">
        <v>25</v>
      </c>
      <c r="C6" t="s">
        <v>83</v>
      </c>
      <c r="D6" s="1" t="s">
        <v>11</v>
      </c>
      <c r="E6" t="s">
        <v>26</v>
      </c>
      <c r="F6" s="1" t="s">
        <v>13</v>
      </c>
      <c r="G6" s="2">
        <v>3021.2346236109988</v>
      </c>
      <c r="H6" t="s">
        <v>27</v>
      </c>
      <c r="I6" s="1">
        <v>4</v>
      </c>
      <c r="J6" s="1">
        <v>27</v>
      </c>
      <c r="K6" s="1" t="s">
        <v>11</v>
      </c>
      <c r="L6" s="1">
        <v>0</v>
      </c>
      <c r="M6" s="14">
        <f>IF($E6="VENDEUR",
       $G6*( COUNTIF(Ventes!$E:$E,Employés!$A6) / 100),
       $G6*( $I6/100) ) + $L6*50</f>
        <v>120.84938494443996</v>
      </c>
      <c r="N6">
        <f>COUNTIF(Ventes!$E:$E,Employés!$A6)</f>
        <v>0</v>
      </c>
      <c r="O6" t="b">
        <f t="shared" si="0"/>
        <v>1</v>
      </c>
      <c r="P6" t="b">
        <f t="shared" si="1"/>
        <v>1</v>
      </c>
      <c r="Q6" t="b">
        <f t="shared" si="2"/>
        <v>1</v>
      </c>
      <c r="R6" t="b">
        <f t="shared" si="3"/>
        <v>1</v>
      </c>
    </row>
    <row r="7" spans="1:18">
      <c r="A7" s="1">
        <v>6</v>
      </c>
      <c r="B7" t="s">
        <v>28</v>
      </c>
      <c r="C7" t="s">
        <v>84</v>
      </c>
      <c r="D7" s="1" t="s">
        <v>29</v>
      </c>
      <c r="E7" t="s">
        <v>30</v>
      </c>
      <c r="F7" s="1" t="s">
        <v>31</v>
      </c>
      <c r="G7" s="2">
        <v>1859.1157652102197</v>
      </c>
      <c r="H7" t="s">
        <v>32</v>
      </c>
      <c r="I7" s="1">
        <v>4</v>
      </c>
      <c r="J7" s="1">
        <v>27</v>
      </c>
      <c r="K7" s="1" t="s">
        <v>11</v>
      </c>
      <c r="L7" s="1">
        <v>0</v>
      </c>
      <c r="M7" s="14">
        <f>IF($E7="VENDEUR",
       $G7*( COUNTIF(Ventes!$E:$E,Employés!$A7) / 100),
       $G7*( $I7/100) ) + $L7*50</f>
        <v>74.364630608408788</v>
      </c>
      <c r="N7">
        <f>COUNTIF(Ventes!$E:$E,Employés!$A7)</f>
        <v>0</v>
      </c>
      <c r="O7" t="b">
        <f t="shared" si="0"/>
        <v>0</v>
      </c>
      <c r="P7" t="e">
        <f t="shared" si="1"/>
        <v>#VALUE!</v>
      </c>
      <c r="Q7" t="b">
        <f t="shared" si="2"/>
        <v>0</v>
      </c>
      <c r="R7" t="b">
        <f t="shared" si="3"/>
        <v>1</v>
      </c>
    </row>
    <row r="8" spans="1:18">
      <c r="A8" s="1">
        <v>7</v>
      </c>
      <c r="B8" t="s">
        <v>33</v>
      </c>
      <c r="C8" t="s">
        <v>85</v>
      </c>
      <c r="D8" s="1" t="s">
        <v>29</v>
      </c>
      <c r="E8" t="s">
        <v>34</v>
      </c>
      <c r="F8" s="1" t="s">
        <v>35</v>
      </c>
      <c r="G8" s="2">
        <v>5577.6521936651334</v>
      </c>
      <c r="H8" t="s">
        <v>32</v>
      </c>
      <c r="I8" s="1">
        <v>4</v>
      </c>
      <c r="J8" s="1">
        <v>39</v>
      </c>
      <c r="K8" s="1" t="s">
        <v>36</v>
      </c>
      <c r="L8" s="1">
        <v>2</v>
      </c>
      <c r="M8" s="14">
        <f>IF($E8="VENDEUR",
       $G8*( COUNTIF(Ventes!$E:$E,Employés!$A8) / 100),
       $G8*( $I8/100) ) + $L8*50</f>
        <v>1327.0834826063294</v>
      </c>
      <c r="N8">
        <f>COUNTIF(Ventes!$E:$E,Employés!$A8)</f>
        <v>22</v>
      </c>
      <c r="O8" t="b">
        <f t="shared" si="0"/>
        <v>0</v>
      </c>
      <c r="P8" t="e">
        <f t="shared" si="1"/>
        <v>#VALUE!</v>
      </c>
      <c r="Q8" t="b">
        <f t="shared" si="2"/>
        <v>0</v>
      </c>
      <c r="R8" t="b">
        <f t="shared" si="3"/>
        <v>1</v>
      </c>
    </row>
    <row r="9" spans="1:18">
      <c r="A9" s="1">
        <v>8</v>
      </c>
      <c r="B9" t="s">
        <v>37</v>
      </c>
      <c r="C9" t="s">
        <v>86</v>
      </c>
      <c r="D9" s="1" t="s">
        <v>11</v>
      </c>
      <c r="E9" t="s">
        <v>22</v>
      </c>
      <c r="F9" s="1" t="s">
        <v>23</v>
      </c>
      <c r="G9" s="2">
        <v>3718.3839794376768</v>
      </c>
      <c r="H9" t="s">
        <v>38</v>
      </c>
      <c r="I9" s="1">
        <v>4</v>
      </c>
      <c r="J9" s="1">
        <v>37</v>
      </c>
      <c r="K9" s="1" t="s">
        <v>11</v>
      </c>
      <c r="L9" s="1">
        <v>1</v>
      </c>
      <c r="M9" s="14">
        <f>IF($E9="VENDEUR",
       $G9*( COUNTIF(Ventes!$E:$E,Employés!$A9) / 100),
       $G9*( $I9/100) ) + $L9*50</f>
        <v>198.73535917750706</v>
      </c>
      <c r="N9">
        <f>COUNTIF(Ventes!$E:$E,Employés!$A9)</f>
        <v>0</v>
      </c>
      <c r="O9" t="b">
        <f t="shared" si="0"/>
        <v>1</v>
      </c>
      <c r="P9" t="b">
        <f t="shared" si="1"/>
        <v>1</v>
      </c>
      <c r="Q9" t="b">
        <f t="shared" si="2"/>
        <v>1</v>
      </c>
      <c r="R9" t="b">
        <f t="shared" si="3"/>
        <v>1</v>
      </c>
    </row>
    <row r="10" spans="1:18">
      <c r="A10" s="1">
        <v>9</v>
      </c>
      <c r="B10" t="s">
        <v>39</v>
      </c>
      <c r="D10" s="1" t="s">
        <v>11</v>
      </c>
      <c r="E10" t="s">
        <v>26</v>
      </c>
      <c r="F10" s="1" t="s">
        <v>13</v>
      </c>
      <c r="G10" s="2">
        <v>3253.5669258808125</v>
      </c>
      <c r="H10" t="s">
        <v>27</v>
      </c>
      <c r="I10" s="1">
        <v>4</v>
      </c>
      <c r="J10" s="1">
        <v>31</v>
      </c>
      <c r="K10" s="1" t="s">
        <v>11</v>
      </c>
      <c r="L10" s="1">
        <v>2</v>
      </c>
      <c r="M10" s="14">
        <f>IF($E10="VENDEUR",
       $G10*( COUNTIF(Ventes!$E:$E,Employés!$A10) / 100),
       $G10*( $I10/100) ) + $L10*50</f>
        <v>230.14267703523251</v>
      </c>
      <c r="N10">
        <f>COUNTIF(Ventes!$E:$E,Employés!$A10)</f>
        <v>0</v>
      </c>
      <c r="O10" t="b">
        <f t="shared" si="0"/>
        <v>0</v>
      </c>
      <c r="P10" t="e">
        <f t="shared" si="1"/>
        <v>#VALUE!</v>
      </c>
      <c r="Q10" t="b">
        <f t="shared" si="2"/>
        <v>0</v>
      </c>
      <c r="R10" t="b">
        <f t="shared" si="3"/>
        <v>0</v>
      </c>
    </row>
    <row r="11" spans="1:18">
      <c r="A11" s="1">
        <v>10</v>
      </c>
      <c r="B11" t="s">
        <v>40</v>
      </c>
      <c r="C11" t="s">
        <v>87</v>
      </c>
      <c r="D11" s="1" t="s">
        <v>11</v>
      </c>
      <c r="E11" t="s">
        <v>34</v>
      </c>
      <c r="F11" s="1" t="s">
        <v>41</v>
      </c>
      <c r="G11" s="2">
        <v>5112.8351401082691</v>
      </c>
      <c r="H11" t="s">
        <v>42</v>
      </c>
      <c r="I11" s="1">
        <v>4</v>
      </c>
      <c r="J11" s="1">
        <v>31</v>
      </c>
      <c r="K11" s="1" t="s">
        <v>43</v>
      </c>
      <c r="L11" s="1">
        <v>1</v>
      </c>
      <c r="M11" s="14">
        <f>IF($E11="VENDEUR",
       $G11*( COUNTIF(Ventes!$E:$E,Employés!$A11) / 100),
       $G11*( $I11/100) ) + $L11*50</f>
        <v>868.05362241732303</v>
      </c>
      <c r="N11">
        <f>COUNTIF(Ventes!$E:$E,Employés!$A11)</f>
        <v>16</v>
      </c>
      <c r="O11" t="b">
        <f t="shared" si="0"/>
        <v>0</v>
      </c>
      <c r="P11" t="e">
        <f t="shared" si="1"/>
        <v>#VALUE!</v>
      </c>
      <c r="Q11" t="b">
        <f t="shared" si="2"/>
        <v>0</v>
      </c>
      <c r="R11" t="b">
        <f t="shared" si="3"/>
        <v>1</v>
      </c>
    </row>
    <row r="12" spans="1:18">
      <c r="A12" s="1">
        <v>11</v>
      </c>
      <c r="B12" t="s">
        <v>44</v>
      </c>
      <c r="C12" t="s">
        <v>88</v>
      </c>
      <c r="D12" s="1" t="s">
        <v>29</v>
      </c>
      <c r="E12" t="s">
        <v>30</v>
      </c>
      <c r="F12" s="1" t="s">
        <v>23</v>
      </c>
      <c r="G12" s="2">
        <v>1859.1157652102197</v>
      </c>
      <c r="H12" t="s">
        <v>27</v>
      </c>
      <c r="I12" s="1">
        <v>4</v>
      </c>
      <c r="J12" s="1">
        <v>28</v>
      </c>
      <c r="K12" s="1" t="s">
        <v>43</v>
      </c>
      <c r="L12" s="1">
        <v>1</v>
      </c>
      <c r="M12" s="14">
        <f>IF($E12="VENDEUR",
       $G12*( COUNTIF(Ventes!$E:$E,Employés!$A12) / 100),
       $G12*( $I12/100) ) + $L12*50</f>
        <v>124.36463060840879</v>
      </c>
      <c r="N12">
        <f>COUNTIF(Ventes!$E:$E,Employés!$A12)</f>
        <v>0</v>
      </c>
      <c r="O12" t="b">
        <f t="shared" si="0"/>
        <v>1</v>
      </c>
      <c r="P12" t="b">
        <f t="shared" si="1"/>
        <v>1</v>
      </c>
      <c r="Q12" t="b">
        <f t="shared" si="2"/>
        <v>1</v>
      </c>
      <c r="R12" t="b">
        <f t="shared" si="3"/>
        <v>1</v>
      </c>
    </row>
    <row r="13" spans="1:18">
      <c r="A13" s="1">
        <v>12</v>
      </c>
      <c r="B13" t="s">
        <v>45</v>
      </c>
      <c r="C13" t="s">
        <v>89</v>
      </c>
      <c r="D13" s="1" t="s">
        <v>11</v>
      </c>
      <c r="E13" t="s">
        <v>46</v>
      </c>
      <c r="F13" s="1" t="s">
        <v>13</v>
      </c>
      <c r="G13" s="2">
        <v>1626.7834629404063</v>
      </c>
      <c r="H13" t="s">
        <v>14</v>
      </c>
      <c r="I13" s="1">
        <v>4</v>
      </c>
      <c r="J13" s="1">
        <v>39</v>
      </c>
      <c r="K13" s="1" t="s">
        <v>11</v>
      </c>
      <c r="L13" s="1">
        <v>2</v>
      </c>
      <c r="M13" s="14">
        <f>IF($E13="VENDEUR",
       $G13*( COUNTIF(Ventes!$E:$E,Employés!$A13) / 100),
       $G13*( $I13/100) ) + $L13*50</f>
        <v>165.07133851761625</v>
      </c>
      <c r="N13">
        <f>COUNTIF(Ventes!$E:$E,Employés!$A13)</f>
        <v>0</v>
      </c>
      <c r="O13" t="b">
        <f t="shared" si="0"/>
        <v>0</v>
      </c>
      <c r="P13" t="e">
        <f t="shared" si="1"/>
        <v>#VALUE!</v>
      </c>
      <c r="Q13" t="b">
        <f t="shared" si="2"/>
        <v>0</v>
      </c>
      <c r="R13" t="b">
        <f t="shared" si="3"/>
        <v>1</v>
      </c>
    </row>
    <row r="14" spans="1:18">
      <c r="A14" s="1">
        <v>13</v>
      </c>
      <c r="B14" t="s">
        <v>47</v>
      </c>
      <c r="D14" s="1" t="s">
        <v>11</v>
      </c>
      <c r="E14" t="s">
        <v>48</v>
      </c>
      <c r="F14" s="1" t="s">
        <v>23</v>
      </c>
      <c r="G14" s="2">
        <v>2232.33230226981</v>
      </c>
      <c r="H14" t="s">
        <v>14</v>
      </c>
      <c r="I14" s="1">
        <v>4</v>
      </c>
      <c r="J14" s="1">
        <v>35</v>
      </c>
      <c r="K14" s="1" t="s">
        <v>43</v>
      </c>
      <c r="L14" s="1">
        <v>0</v>
      </c>
      <c r="M14" s="14">
        <f>IF($E14="VENDEUR",
       $G14*( COUNTIF(Ventes!$E:$E,Employés!$A14) / 100),
       $G14*( $I14/100) ) + $L14*50</f>
        <v>89.293292090792406</v>
      </c>
      <c r="N14">
        <f>COUNTIF(Ventes!$E:$E,Employés!$A14)</f>
        <v>0</v>
      </c>
      <c r="O14" t="b">
        <f t="shared" si="0"/>
        <v>0</v>
      </c>
      <c r="P14" t="e">
        <f t="shared" si="1"/>
        <v>#VALUE!</v>
      </c>
      <c r="Q14" t="b">
        <f t="shared" si="2"/>
        <v>0</v>
      </c>
      <c r="R14" t="b">
        <f t="shared" si="3"/>
        <v>0</v>
      </c>
    </row>
    <row r="15" spans="1:18">
      <c r="A15" s="1">
        <v>14</v>
      </c>
      <c r="B15" t="s">
        <v>49</v>
      </c>
      <c r="D15" s="1" t="s">
        <v>29</v>
      </c>
      <c r="E15" t="s">
        <v>30</v>
      </c>
      <c r="F15" s="1" t="s">
        <v>13</v>
      </c>
      <c r="G15" s="2">
        <v>1626.7834629404063</v>
      </c>
      <c r="H15" t="s">
        <v>32</v>
      </c>
      <c r="I15" s="1">
        <v>4</v>
      </c>
      <c r="J15" s="1">
        <v>26</v>
      </c>
      <c r="K15" s="1" t="s">
        <v>11</v>
      </c>
      <c r="L15" s="1">
        <v>1</v>
      </c>
      <c r="M15" s="14">
        <f>IF($E15="VENDEUR",
       $G15*( COUNTIF(Ventes!$E:$E,Employés!$A15) / 100),
       $G15*( $I15/100) ) + $L15*50</f>
        <v>115.07133851761625</v>
      </c>
      <c r="N15">
        <f>COUNTIF(Ventes!$E:$E,Employés!$A15)</f>
        <v>0</v>
      </c>
      <c r="O15" t="b">
        <f t="shared" si="0"/>
        <v>0</v>
      </c>
      <c r="P15" t="e">
        <f t="shared" si="1"/>
        <v>#VALUE!</v>
      </c>
      <c r="Q15" t="b">
        <f t="shared" si="2"/>
        <v>0</v>
      </c>
      <c r="R15" t="b">
        <f t="shared" si="3"/>
        <v>0</v>
      </c>
    </row>
    <row r="16" spans="1:18">
      <c r="A16" s="1">
        <v>15</v>
      </c>
      <c r="B16" t="s">
        <v>50</v>
      </c>
      <c r="C16" t="s">
        <v>90</v>
      </c>
      <c r="D16" s="1" t="s">
        <v>29</v>
      </c>
      <c r="E16" t="s">
        <v>30</v>
      </c>
      <c r="F16" s="1" t="s">
        <v>13</v>
      </c>
      <c r="G16" s="2">
        <v>2091.6005164972703</v>
      </c>
      <c r="H16" t="s">
        <v>27</v>
      </c>
      <c r="I16" s="1">
        <v>4</v>
      </c>
      <c r="J16" s="1">
        <v>27</v>
      </c>
      <c r="K16" s="1" t="s">
        <v>11</v>
      </c>
      <c r="L16" s="1">
        <v>2</v>
      </c>
      <c r="M16" s="14">
        <f>IF($E16="VENDEUR",
       $G16*( COUNTIF(Ventes!$E:$E,Employés!$A16) / 100),
       $G16*( $I16/100) ) + $L16*50</f>
        <v>183.66402065989081</v>
      </c>
      <c r="N16">
        <f>COUNTIF(Ventes!$E:$E,Employés!$A16)</f>
        <v>0</v>
      </c>
      <c r="O16" t="b">
        <f t="shared" si="0"/>
        <v>1</v>
      </c>
      <c r="P16" t="b">
        <f t="shared" si="1"/>
        <v>1</v>
      </c>
      <c r="Q16" t="b">
        <f t="shared" si="2"/>
        <v>1</v>
      </c>
      <c r="R16" t="b">
        <f t="shared" si="3"/>
        <v>1</v>
      </c>
    </row>
    <row r="17" spans="1:18">
      <c r="A17" s="1">
        <v>16</v>
      </c>
      <c r="B17" t="s">
        <v>51</v>
      </c>
      <c r="C17" t="s">
        <v>91</v>
      </c>
      <c r="D17" s="1" t="s">
        <v>11</v>
      </c>
      <c r="E17" t="s">
        <v>52</v>
      </c>
      <c r="F17" s="1" t="s">
        <v>53</v>
      </c>
      <c r="G17" s="2">
        <v>4648.0180865514048</v>
      </c>
      <c r="H17" t="s">
        <v>32</v>
      </c>
      <c r="I17" s="1">
        <v>4</v>
      </c>
      <c r="J17" s="1">
        <v>36</v>
      </c>
      <c r="K17" s="1" t="s">
        <v>43</v>
      </c>
      <c r="L17" s="1">
        <v>2</v>
      </c>
      <c r="M17" s="14">
        <f>IF($E17="VENDEUR",
       $G17*( COUNTIF(Ventes!$E:$E,Employés!$A17) / 100),
       $G17*( $I17/100) ) + $L17*50</f>
        <v>285.92072346205623</v>
      </c>
      <c r="N17">
        <f>COUNTIF(Ventes!$E:$E,Employés!$A17)</f>
        <v>0</v>
      </c>
      <c r="O17" t="b">
        <f t="shared" si="0"/>
        <v>0</v>
      </c>
      <c r="P17" t="e">
        <f t="shared" si="1"/>
        <v>#VALUE!</v>
      </c>
      <c r="Q17" t="b">
        <f t="shared" si="2"/>
        <v>0</v>
      </c>
      <c r="R17" t="b">
        <f t="shared" si="3"/>
        <v>1</v>
      </c>
    </row>
    <row r="18" spans="1:18">
      <c r="A18" s="1">
        <v>17</v>
      </c>
      <c r="B18" t="s">
        <v>54</v>
      </c>
      <c r="C18" t="s">
        <v>92</v>
      </c>
      <c r="D18" s="1" t="s">
        <v>29</v>
      </c>
      <c r="E18" t="s">
        <v>55</v>
      </c>
      <c r="F18" s="1" t="s">
        <v>31</v>
      </c>
      <c r="G18" s="2">
        <v>3253.5669258808125</v>
      </c>
      <c r="H18" t="s">
        <v>27</v>
      </c>
      <c r="I18" s="1">
        <v>4</v>
      </c>
      <c r="J18" s="1">
        <v>32</v>
      </c>
      <c r="K18" s="1" t="s">
        <v>11</v>
      </c>
      <c r="L18" s="1">
        <v>2</v>
      </c>
      <c r="M18" s="14">
        <f>IF($E18="VENDEUR",
       $G18*( COUNTIF(Ventes!$E:$E,Employés!$A18) / 100),
       $G18*( $I18/100) ) + $L18*50</f>
        <v>230.14267703523251</v>
      </c>
      <c r="N18">
        <f>COUNTIF(Ventes!$E:$E,Employés!$A18)</f>
        <v>0</v>
      </c>
      <c r="O18" t="b">
        <f t="shared" si="0"/>
        <v>1</v>
      </c>
      <c r="P18" t="b">
        <f t="shared" si="1"/>
        <v>1</v>
      </c>
      <c r="Q18" t="b">
        <f t="shared" si="2"/>
        <v>1</v>
      </c>
      <c r="R18" t="b">
        <f t="shared" si="3"/>
        <v>1</v>
      </c>
    </row>
    <row r="19" spans="1:18">
      <c r="A19" s="1">
        <v>18</v>
      </c>
      <c r="B19" t="s">
        <v>56</v>
      </c>
      <c r="C19" t="s">
        <v>93</v>
      </c>
      <c r="D19" s="1" t="s">
        <v>11</v>
      </c>
      <c r="E19" t="s">
        <v>57</v>
      </c>
      <c r="F19" s="1" t="s">
        <v>23</v>
      </c>
      <c r="G19" s="2">
        <v>1510.6173118054994</v>
      </c>
      <c r="H19" t="s">
        <v>58</v>
      </c>
      <c r="I19" s="1">
        <v>3</v>
      </c>
      <c r="J19" s="1">
        <v>24</v>
      </c>
      <c r="K19" s="1" t="s">
        <v>11</v>
      </c>
      <c r="L19" s="1">
        <v>0</v>
      </c>
      <c r="M19" s="14">
        <f>IF($E19="VENDEUR",
       $G19*( COUNTIF(Ventes!$E:$E,Employés!$A19) / 100),
       $G19*( $I19/100) ) + $L19*50</f>
        <v>45.318519354164984</v>
      </c>
      <c r="N19">
        <f>COUNTIF(Ventes!$E:$E,Employés!$A19)</f>
        <v>0</v>
      </c>
      <c r="O19" t="b">
        <f t="shared" si="0"/>
        <v>0</v>
      </c>
      <c r="P19" t="e">
        <f t="shared" si="1"/>
        <v>#VALUE!</v>
      </c>
      <c r="Q19" t="b">
        <f t="shared" si="2"/>
        <v>0</v>
      </c>
      <c r="R19" t="b">
        <f t="shared" si="3"/>
        <v>1</v>
      </c>
    </row>
    <row r="20" spans="1:18">
      <c r="A20" s="1">
        <v>19</v>
      </c>
      <c r="B20" t="s">
        <v>59</v>
      </c>
      <c r="D20" s="1" t="s">
        <v>29</v>
      </c>
      <c r="E20" t="s">
        <v>30</v>
      </c>
      <c r="F20" s="1" t="s">
        <v>13</v>
      </c>
      <c r="G20" s="2">
        <v>1626.7834629404063</v>
      </c>
      <c r="H20" t="s">
        <v>27</v>
      </c>
      <c r="I20" s="1">
        <v>3</v>
      </c>
      <c r="J20" s="1">
        <v>25</v>
      </c>
      <c r="K20" s="1" t="s">
        <v>11</v>
      </c>
      <c r="L20" s="1">
        <v>2</v>
      </c>
      <c r="M20" s="14">
        <f>IF($E20="VENDEUR",
       $G20*( COUNTIF(Ventes!$E:$E,Employés!$A20) / 100),
       $G20*( $I20/100) ) + $L20*50</f>
        <v>148.80350388821219</v>
      </c>
      <c r="N20">
        <f>COUNTIF(Ventes!$E:$E,Employés!$A20)</f>
        <v>0</v>
      </c>
      <c r="O20" t="b">
        <f t="shared" si="0"/>
        <v>0</v>
      </c>
      <c r="P20" t="e">
        <f t="shared" si="1"/>
        <v>#VALUE!</v>
      </c>
      <c r="Q20" t="b">
        <f t="shared" si="2"/>
        <v>0</v>
      </c>
      <c r="R20" t="b">
        <f t="shared" si="3"/>
        <v>0</v>
      </c>
    </row>
    <row r="21" spans="1:18">
      <c r="A21" s="1">
        <v>20</v>
      </c>
      <c r="B21" t="s">
        <v>60</v>
      </c>
      <c r="C21" t="s">
        <v>94</v>
      </c>
      <c r="D21" s="1" t="s">
        <v>11</v>
      </c>
      <c r="E21" t="s">
        <v>61</v>
      </c>
      <c r="F21" s="1" t="s">
        <v>13</v>
      </c>
      <c r="G21" s="2">
        <v>8831.3715685631832</v>
      </c>
      <c r="H21" t="s">
        <v>62</v>
      </c>
      <c r="I21" s="1">
        <v>3</v>
      </c>
      <c r="J21" s="1">
        <v>41</v>
      </c>
      <c r="K21" s="1" t="s">
        <v>11</v>
      </c>
      <c r="L21" s="1">
        <v>4</v>
      </c>
      <c r="M21" s="14">
        <f>IF($E21="VENDEUR",
       $G21*( COUNTIF(Ventes!$E:$E,Employés!$A21) / 100),
       $G21*( $I21/100) ) + $L21*50</f>
        <v>464.94114705689549</v>
      </c>
      <c r="N21">
        <f>COUNTIF(Ventes!$E:$E,Employés!$A21)</f>
        <v>0</v>
      </c>
      <c r="O21" t="b">
        <f t="shared" si="0"/>
        <v>1</v>
      </c>
      <c r="P21" t="b">
        <f t="shared" si="1"/>
        <v>1</v>
      </c>
      <c r="Q21" t="b">
        <f t="shared" si="2"/>
        <v>1</v>
      </c>
      <c r="R21" t="b">
        <f t="shared" si="3"/>
        <v>1</v>
      </c>
    </row>
    <row r="22" spans="1:18">
      <c r="A22" s="1">
        <v>21</v>
      </c>
      <c r="B22" t="s">
        <v>63</v>
      </c>
      <c r="C22" t="s">
        <v>95</v>
      </c>
      <c r="D22" s="1" t="s">
        <v>11</v>
      </c>
      <c r="E22" t="s">
        <v>57</v>
      </c>
      <c r="F22" s="1" t="s">
        <v>23</v>
      </c>
      <c r="G22" s="2">
        <v>1394.2987116533554</v>
      </c>
      <c r="H22" t="s">
        <v>58</v>
      </c>
      <c r="I22" s="1">
        <v>3</v>
      </c>
      <c r="J22" s="1">
        <v>30</v>
      </c>
      <c r="K22" s="1" t="s">
        <v>11</v>
      </c>
      <c r="L22" s="1">
        <v>2</v>
      </c>
      <c r="M22" s="14">
        <f>IF($E22="VENDEUR",
       $G22*( COUNTIF(Ventes!$E:$E,Employés!$A22) / 100),
       $G22*( $I22/100) ) + $L22*50</f>
        <v>141.82896134960066</v>
      </c>
      <c r="N22">
        <f>COUNTIF(Ventes!$E:$E,Employés!$A22)</f>
        <v>0</v>
      </c>
      <c r="O22" t="b">
        <f t="shared" si="0"/>
        <v>1</v>
      </c>
      <c r="P22" t="b">
        <f t="shared" si="1"/>
        <v>1</v>
      </c>
      <c r="Q22" t="b">
        <f t="shared" si="2"/>
        <v>1</v>
      </c>
      <c r="R22" t="b">
        <f t="shared" si="3"/>
        <v>1</v>
      </c>
    </row>
    <row r="23" spans="1:18">
      <c r="A23" s="1">
        <v>22</v>
      </c>
      <c r="B23" t="s">
        <v>64</v>
      </c>
      <c r="C23" t="s">
        <v>96</v>
      </c>
      <c r="D23" s="1" t="s">
        <v>11</v>
      </c>
      <c r="E23" t="s">
        <v>26</v>
      </c>
      <c r="F23" s="1" t="s">
        <v>13</v>
      </c>
      <c r="G23" s="2">
        <v>1859.1157652102197</v>
      </c>
      <c r="H23" t="s">
        <v>27</v>
      </c>
      <c r="I23" s="1">
        <v>3</v>
      </c>
      <c r="J23" s="1">
        <v>30</v>
      </c>
      <c r="K23" s="1" t="s">
        <v>43</v>
      </c>
      <c r="L23" s="1">
        <v>3</v>
      </c>
      <c r="M23" s="14">
        <f>IF($E23="VENDEUR",
       $G23*( COUNTIF(Ventes!$E:$E,Employés!$A23) / 100),
       $G23*( $I23/100) ) + $L23*50</f>
        <v>205.77347295630659</v>
      </c>
      <c r="N23">
        <f>COUNTIF(Ventes!$E:$E,Employés!$A23)</f>
        <v>0</v>
      </c>
      <c r="O23" t="b">
        <f t="shared" si="0"/>
        <v>1</v>
      </c>
      <c r="P23" t="b">
        <f t="shared" si="1"/>
        <v>1</v>
      </c>
      <c r="Q23" t="b">
        <f t="shared" si="2"/>
        <v>1</v>
      </c>
      <c r="R23" t="b">
        <f t="shared" si="3"/>
        <v>1</v>
      </c>
    </row>
    <row r="24" spans="1:18">
      <c r="A24" s="1">
        <v>23</v>
      </c>
      <c r="B24" t="s">
        <v>65</v>
      </c>
      <c r="C24" t="s">
        <v>97</v>
      </c>
      <c r="D24" s="1" t="s">
        <v>11</v>
      </c>
      <c r="E24" t="s">
        <v>34</v>
      </c>
      <c r="F24" s="1" t="s">
        <v>53</v>
      </c>
      <c r="G24" s="2">
        <v>4183.2010329945406</v>
      </c>
      <c r="H24" t="s">
        <v>66</v>
      </c>
      <c r="I24" s="1">
        <v>3</v>
      </c>
      <c r="J24" s="1">
        <v>29</v>
      </c>
      <c r="K24" s="1" t="s">
        <v>43</v>
      </c>
      <c r="L24" s="1">
        <v>1</v>
      </c>
      <c r="M24" s="14">
        <f>IF($E24="VENDEUR",
       $G24*( COUNTIF(Ventes!$E:$E,Employés!$A24) / 100),
       $G24*( $I24/100) ) + $L24*50</f>
        <v>426.48809296950861</v>
      </c>
      <c r="N24">
        <f>COUNTIF(Ventes!$E:$E,Employés!$A24)</f>
        <v>9</v>
      </c>
      <c r="O24" t="b">
        <f t="shared" si="0"/>
        <v>0</v>
      </c>
      <c r="P24" t="e">
        <f t="shared" si="1"/>
        <v>#VALUE!</v>
      </c>
      <c r="Q24" t="b">
        <f t="shared" si="2"/>
        <v>0</v>
      </c>
      <c r="R24" t="b">
        <f t="shared" si="3"/>
        <v>1</v>
      </c>
    </row>
    <row r="25" spans="1:18">
      <c r="A25" s="1">
        <v>24</v>
      </c>
      <c r="B25" t="s">
        <v>67</v>
      </c>
      <c r="D25" s="1" t="s">
        <v>11</v>
      </c>
      <c r="E25" t="s">
        <v>55</v>
      </c>
      <c r="F25" s="1" t="s">
        <v>53</v>
      </c>
      <c r="G25" s="2">
        <v>3253.5669258808125</v>
      </c>
      <c r="H25" t="s">
        <v>68</v>
      </c>
      <c r="I25" s="1">
        <v>3</v>
      </c>
      <c r="J25" s="1">
        <v>28</v>
      </c>
      <c r="K25" s="1" t="s">
        <v>11</v>
      </c>
      <c r="L25" s="1">
        <v>2</v>
      </c>
      <c r="M25" s="14">
        <f>IF($E25="VENDEUR",
       $G25*( COUNTIF(Ventes!$E:$E,Employés!$A25) / 100),
       $G25*( $I25/100) ) + $L25*50</f>
        <v>197.60700777642438</v>
      </c>
      <c r="N25">
        <f>COUNTIF(Ventes!$E:$E,Employés!$A25)</f>
        <v>0</v>
      </c>
      <c r="O25" t="b">
        <f t="shared" si="0"/>
        <v>0</v>
      </c>
      <c r="P25" t="e">
        <f t="shared" si="1"/>
        <v>#VALUE!</v>
      </c>
      <c r="Q25" t="b">
        <f t="shared" si="2"/>
        <v>0</v>
      </c>
      <c r="R25" t="b">
        <f t="shared" si="3"/>
        <v>0</v>
      </c>
    </row>
    <row r="26" spans="1:18">
      <c r="A26" s="1">
        <v>25</v>
      </c>
      <c r="B26" t="s">
        <v>69</v>
      </c>
      <c r="D26" s="1" t="s">
        <v>11</v>
      </c>
      <c r="E26" t="s">
        <v>26</v>
      </c>
      <c r="F26" s="1" t="s">
        <v>13</v>
      </c>
      <c r="G26" s="2">
        <v>3021.2346236109988</v>
      </c>
      <c r="H26" t="s">
        <v>27</v>
      </c>
      <c r="I26" s="1">
        <v>3</v>
      </c>
      <c r="J26" s="1">
        <v>27</v>
      </c>
      <c r="K26" s="1" t="s">
        <v>43</v>
      </c>
      <c r="L26" s="1">
        <v>1</v>
      </c>
      <c r="M26" s="14">
        <f>IF($E26="VENDEUR",
       $G26*( COUNTIF(Ventes!$E:$E,Employés!$A26) / 100),
       $G26*( $I26/100) ) + $L26*50</f>
        <v>140.63703870832995</v>
      </c>
      <c r="N26">
        <f>COUNTIF(Ventes!$E:$E,Employés!$A26)</f>
        <v>0</v>
      </c>
      <c r="O26" t="b">
        <f t="shared" si="0"/>
        <v>0</v>
      </c>
      <c r="P26" t="e">
        <f t="shared" si="1"/>
        <v>#VALUE!</v>
      </c>
      <c r="Q26" t="b">
        <f t="shared" si="2"/>
        <v>0</v>
      </c>
      <c r="R26" t="b">
        <f t="shared" si="3"/>
        <v>0</v>
      </c>
    </row>
    <row r="27" spans="1:18">
      <c r="A27" s="1">
        <v>26</v>
      </c>
      <c r="B27" t="s">
        <v>70</v>
      </c>
      <c r="C27" t="s">
        <v>98</v>
      </c>
      <c r="D27" s="1" t="s">
        <v>11</v>
      </c>
      <c r="E27" t="s">
        <v>71</v>
      </c>
      <c r="F27" s="1" t="s">
        <v>13</v>
      </c>
      <c r="G27" s="2">
        <v>5810.1369449521844</v>
      </c>
      <c r="H27" t="s">
        <v>72</v>
      </c>
      <c r="I27" s="1">
        <v>3</v>
      </c>
      <c r="J27" s="1">
        <v>36</v>
      </c>
      <c r="K27" s="1" t="s">
        <v>11</v>
      </c>
      <c r="L27" s="1">
        <v>0</v>
      </c>
      <c r="M27" s="14">
        <f>IF($E27="VENDEUR",
       $G27*( COUNTIF(Ventes!$E:$E,Employés!$A27) / 100),
       $G27*( $I27/100) ) + $L27*50</f>
        <v>174.30410834856553</v>
      </c>
      <c r="N27">
        <f>COUNTIF(Ventes!$E:$E,Employés!$A27)</f>
        <v>0</v>
      </c>
      <c r="O27" t="b">
        <f t="shared" si="0"/>
        <v>1</v>
      </c>
      <c r="P27" t="b">
        <f t="shared" si="1"/>
        <v>1</v>
      </c>
      <c r="Q27" t="b">
        <f t="shared" si="2"/>
        <v>1</v>
      </c>
      <c r="R27" t="b">
        <f t="shared" si="3"/>
        <v>1</v>
      </c>
    </row>
    <row r="28" spans="1:18">
      <c r="A28" s="1">
        <v>27</v>
      </c>
      <c r="B28" t="s">
        <v>73</v>
      </c>
      <c r="C28" t="s">
        <v>99</v>
      </c>
      <c r="D28" s="1" t="s">
        <v>29</v>
      </c>
      <c r="E28" t="s">
        <v>74</v>
      </c>
      <c r="F28" s="1" t="s">
        <v>23</v>
      </c>
      <c r="G28" s="2">
        <v>5345.3198913953202</v>
      </c>
      <c r="H28" t="s">
        <v>75</v>
      </c>
      <c r="I28" s="1">
        <v>3</v>
      </c>
      <c r="J28" s="1">
        <v>25</v>
      </c>
      <c r="K28" s="1" t="s">
        <v>11</v>
      </c>
      <c r="L28" s="1">
        <v>0</v>
      </c>
      <c r="M28" s="14">
        <f>IF($E28="VENDEUR",
       $G28*( COUNTIF(Ventes!$E:$E,Employés!$A28) / 100),
       $G28*( $I28/100) ) + $L28*50</f>
        <v>160.3595967418596</v>
      </c>
      <c r="N28">
        <f>COUNTIF(Ventes!$E:$E,Employés!$A28)</f>
        <v>0</v>
      </c>
      <c r="O28" t="b">
        <f t="shared" si="0"/>
        <v>0</v>
      </c>
      <c r="P28" t="e">
        <f t="shared" si="1"/>
        <v>#VALUE!</v>
      </c>
      <c r="Q28" t="b">
        <f t="shared" si="2"/>
        <v>0</v>
      </c>
      <c r="R28" t="b">
        <f t="shared" si="3"/>
        <v>1</v>
      </c>
    </row>
    <row r="29" spans="1:18">
      <c r="A29" s="1">
        <v>28</v>
      </c>
      <c r="B29" t="s">
        <v>76</v>
      </c>
      <c r="D29" s="1" t="s">
        <v>11</v>
      </c>
      <c r="E29" t="s">
        <v>77</v>
      </c>
      <c r="F29" s="1" t="s">
        <v>23</v>
      </c>
      <c r="G29" s="2">
        <v>6274.9539985090487</v>
      </c>
      <c r="H29" t="s">
        <v>32</v>
      </c>
      <c r="I29" s="1">
        <v>3</v>
      </c>
      <c r="J29" s="1">
        <v>28</v>
      </c>
      <c r="K29" s="1" t="s">
        <v>11</v>
      </c>
      <c r="L29" s="1">
        <v>0</v>
      </c>
      <c r="M29" s="14">
        <f>IF($E29="VENDEUR",
       $G29*( COUNTIF(Ventes!$E:$E,Employés!$A29) / 100),
       $G29*( $I29/100) ) + $L29*50</f>
        <v>188.24861995527147</v>
      </c>
      <c r="N29">
        <f>COUNTIF(Ventes!$E:$E,Employés!$A29)</f>
        <v>0</v>
      </c>
      <c r="O29" t="b">
        <f t="shared" si="0"/>
        <v>0</v>
      </c>
      <c r="P29" t="e">
        <f t="shared" si="1"/>
        <v>#VALUE!</v>
      </c>
      <c r="Q29" t="b">
        <f t="shared" si="2"/>
        <v>0</v>
      </c>
      <c r="R29" t="b">
        <f t="shared" si="3"/>
        <v>0</v>
      </c>
    </row>
    <row r="30" spans="1:18">
      <c r="A30" s="21">
        <v>29</v>
      </c>
      <c r="B30" t="s">
        <v>204</v>
      </c>
      <c r="C30" t="s">
        <v>87</v>
      </c>
      <c r="D30" s="21" t="s">
        <v>29</v>
      </c>
      <c r="E30" t="s">
        <v>46</v>
      </c>
      <c r="F30" s="21" t="s">
        <v>13</v>
      </c>
      <c r="G30" s="2">
        <v>1856.6294041000001</v>
      </c>
      <c r="H30" t="s">
        <v>27</v>
      </c>
      <c r="I30" s="21">
        <v>5</v>
      </c>
      <c r="J30" s="21">
        <v>32</v>
      </c>
      <c r="K30" s="21" t="s">
        <v>43</v>
      </c>
      <c r="L30" s="21">
        <v>1</v>
      </c>
      <c r="M30" s="14">
        <f>IF($E30="VENDEUR",
       $G30*( COUNTIF(Ventes!$E:$E,Employés!$A30) / 100),
       $G30*( $I30/100) ) + $L30*50</f>
        <v>142.83147020500002</v>
      </c>
      <c r="N30">
        <f>COUNTIF(Ventes!$E:$E,Employés!$A30)</f>
        <v>0</v>
      </c>
      <c r="O30" t="b">
        <f t="shared" si="0"/>
        <v>0</v>
      </c>
      <c r="P30" t="e">
        <f t="shared" si="1"/>
        <v>#VALUE!</v>
      </c>
      <c r="Q30" t="b">
        <f t="shared" si="2"/>
        <v>0</v>
      </c>
      <c r="R30" t="b">
        <f t="shared" si="3"/>
        <v>1</v>
      </c>
    </row>
  </sheetData>
  <conditionalFormatting sqref="C2:C30">
    <cfRule type="duplicateValues" dxfId="7" priority="7"/>
  </conditionalFormatting>
  <conditionalFormatting sqref="B3">
    <cfRule type="duplicateValues" dxfId="6" priority="5"/>
  </conditionalFormatting>
  <conditionalFormatting sqref="B3">
    <cfRule type="expression" dxfId="5" priority="4">
      <formula>AND(ISNUMBER(SEARCH("@",$C3)),(LEN($C3)&gt;1))</formula>
    </cfRule>
  </conditionalFormatting>
  <conditionalFormatting sqref="C2">
    <cfRule type="expression" dxfId="4" priority="2">
      <formula>AND(ISNUMBER(SEARCH("@",$C2)),(LEN($C2)&gt;1))</formula>
    </cfRule>
  </conditionalFormatting>
  <conditionalFormatting sqref="C3:C30">
    <cfRule type="expression" dxfId="0" priority="1">
      <formula>AND(ISNUMBER(SEARCH("@",$C3)),(LEN($C3)&gt;1))</formula>
    </cfRule>
  </conditionalFormatting>
  <hyperlinks>
    <hyperlink ref="C2" r:id="rId1" xr:uid="{A0259FA9-9BBC-4940-844E-3E14724FBF30}"/>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3AFC-09E0-2D4C-940E-70C2222F9AB5}">
  <dimension ref="A1:G48"/>
  <sheetViews>
    <sheetView workbookViewId="0">
      <selection activeCell="B4" sqref="B4"/>
    </sheetView>
  </sheetViews>
  <sheetFormatPr baseColWidth="10" defaultRowHeight="16"/>
  <cols>
    <col min="1" max="1" width="12.6640625" bestFit="1" customWidth="1"/>
    <col min="2" max="2" width="14" style="10" bestFit="1" customWidth="1"/>
    <col min="3" max="3" width="7" bestFit="1" customWidth="1"/>
    <col min="4" max="4" width="14.33203125" bestFit="1" customWidth="1"/>
    <col min="5" max="5" width="9.5" style="1" bestFit="1" customWidth="1"/>
    <col min="6" max="6" width="14.83203125" style="12" customWidth="1"/>
    <col min="7" max="7" width="21.6640625" customWidth="1"/>
  </cols>
  <sheetData>
    <row r="1" spans="1:7" ht="32">
      <c r="A1" s="8" t="s">
        <v>130</v>
      </c>
      <c r="B1" s="9" t="s">
        <v>100</v>
      </c>
      <c r="C1" s="8" t="s">
        <v>101</v>
      </c>
      <c r="D1" s="8" t="s">
        <v>125</v>
      </c>
      <c r="E1" s="8" t="s">
        <v>34</v>
      </c>
      <c r="F1" s="11" t="s">
        <v>102</v>
      </c>
      <c r="G1" s="8" t="s">
        <v>194</v>
      </c>
    </row>
    <row r="2" spans="1:7">
      <c r="A2" t="s">
        <v>133</v>
      </c>
      <c r="B2" s="10">
        <v>43902</v>
      </c>
      <c r="C2" t="s">
        <v>103</v>
      </c>
      <c r="D2" t="s">
        <v>126</v>
      </c>
      <c r="E2" s="1">
        <v>7</v>
      </c>
      <c r="F2" s="12">
        <v>752.98</v>
      </c>
      <c r="G2" s="1" t="str">
        <f>VLOOKUP($E2,Employés!$A:$M,2,FALSE)</f>
        <v>BASCHET Françoise</v>
      </c>
    </row>
    <row r="3" spans="1:7">
      <c r="A3" t="s">
        <v>134</v>
      </c>
      <c r="B3" s="10">
        <v>43865</v>
      </c>
      <c r="C3" t="s">
        <v>104</v>
      </c>
      <c r="D3" t="s">
        <v>126</v>
      </c>
      <c r="E3" s="1">
        <v>10</v>
      </c>
      <c r="F3" s="12">
        <v>374.84</v>
      </c>
      <c r="G3" s="1" t="str">
        <f>VLOOKUP($E3,Employés!$A:$M,2,FALSE)</f>
        <v>GALOTTI Marc</v>
      </c>
    </row>
    <row r="4" spans="1:7">
      <c r="A4" t="s">
        <v>135</v>
      </c>
      <c r="B4" s="10">
        <v>43893</v>
      </c>
      <c r="C4" t="s">
        <v>105</v>
      </c>
      <c r="D4" t="s">
        <v>127</v>
      </c>
      <c r="E4" s="1">
        <v>7</v>
      </c>
      <c r="F4" s="12">
        <v>935.47</v>
      </c>
      <c r="G4" s="1" t="str">
        <f>VLOOKUP($E4,Employés!$A:$M,2,FALSE)</f>
        <v>BASCHET Françoise</v>
      </c>
    </row>
    <row r="5" spans="1:7">
      <c r="A5" t="s">
        <v>136</v>
      </c>
      <c r="B5" s="10">
        <v>43921</v>
      </c>
      <c r="C5" t="s">
        <v>106</v>
      </c>
      <c r="D5" t="s">
        <v>128</v>
      </c>
      <c r="E5" s="1">
        <v>23</v>
      </c>
      <c r="F5" s="12">
        <v>752.98</v>
      </c>
      <c r="G5" s="1" t="str">
        <f>VLOOKUP($E5,Employés!$A:$M,2,FALSE)</f>
        <v>POINCARE Charles</v>
      </c>
    </row>
    <row r="6" spans="1:7">
      <c r="A6" t="s">
        <v>137</v>
      </c>
      <c r="B6" s="10">
        <v>43883</v>
      </c>
      <c r="C6" t="s">
        <v>107</v>
      </c>
      <c r="D6" t="s">
        <v>126</v>
      </c>
      <c r="E6" s="1">
        <v>7</v>
      </c>
      <c r="F6" s="12">
        <v>677.36</v>
      </c>
      <c r="G6" s="1" t="str">
        <f>VLOOKUP($E6,Employés!$A:$M,2,FALSE)</f>
        <v>BASCHET Françoise</v>
      </c>
    </row>
    <row r="7" spans="1:7">
      <c r="A7" t="s">
        <v>138</v>
      </c>
      <c r="B7" s="10">
        <v>44021</v>
      </c>
      <c r="C7" t="s">
        <v>108</v>
      </c>
      <c r="D7" t="s">
        <v>127</v>
      </c>
      <c r="E7" s="1">
        <v>7</v>
      </c>
      <c r="F7" s="12">
        <v>425.81</v>
      </c>
      <c r="G7" s="1" t="str">
        <f>VLOOKUP($E7,Employés!$A:$M,2,FALSE)</f>
        <v>BASCHET Françoise</v>
      </c>
    </row>
    <row r="8" spans="1:7">
      <c r="A8" t="s">
        <v>139</v>
      </c>
      <c r="B8" s="10">
        <v>44021</v>
      </c>
      <c r="C8" t="s">
        <v>108</v>
      </c>
      <c r="D8" t="s">
        <v>126</v>
      </c>
      <c r="E8" s="1">
        <v>10</v>
      </c>
      <c r="F8" s="12">
        <v>1607.89</v>
      </c>
      <c r="G8" s="1" t="str">
        <f>VLOOKUP($E8,Employés!$A:$M,2,FALSE)</f>
        <v>GALOTTI Marc</v>
      </c>
    </row>
    <row r="9" spans="1:7">
      <c r="A9" t="s">
        <v>140</v>
      </c>
      <c r="B9" s="10">
        <v>44021</v>
      </c>
      <c r="C9" t="s">
        <v>109</v>
      </c>
      <c r="D9" t="s">
        <v>129</v>
      </c>
      <c r="E9" s="1">
        <v>7</v>
      </c>
      <c r="F9" s="12">
        <v>1436.91</v>
      </c>
      <c r="G9" s="1" t="str">
        <f>VLOOKUP($E9,Employés!$A:$M,2,FALSE)</f>
        <v>BASCHET Françoise</v>
      </c>
    </row>
    <row r="10" spans="1:7">
      <c r="A10" t="s">
        <v>141</v>
      </c>
      <c r="B10" s="10">
        <v>43967</v>
      </c>
      <c r="C10" t="s">
        <v>110</v>
      </c>
      <c r="D10" t="s">
        <v>126</v>
      </c>
      <c r="E10" s="1">
        <v>10</v>
      </c>
      <c r="F10" s="12">
        <v>2250.7199999999998</v>
      </c>
      <c r="G10" s="1" t="str">
        <f>VLOOKUP($E10,Employés!$A:$M,2,FALSE)</f>
        <v>GALOTTI Marc</v>
      </c>
    </row>
    <row r="11" spans="1:7">
      <c r="A11" t="s">
        <v>142</v>
      </c>
      <c r="B11" s="10">
        <v>44039</v>
      </c>
      <c r="C11" t="s">
        <v>110</v>
      </c>
      <c r="D11" t="s">
        <v>127</v>
      </c>
      <c r="E11" s="1">
        <v>7</v>
      </c>
      <c r="F11" s="12">
        <v>428.41</v>
      </c>
      <c r="G11" s="1" t="str">
        <f>VLOOKUP($E11,Employés!$A:$M,2,FALSE)</f>
        <v>BASCHET Françoise</v>
      </c>
    </row>
    <row r="12" spans="1:7">
      <c r="A12" t="s">
        <v>143</v>
      </c>
      <c r="B12" s="10">
        <v>44085</v>
      </c>
      <c r="C12" t="s">
        <v>110</v>
      </c>
      <c r="D12" t="s">
        <v>128</v>
      </c>
      <c r="E12" s="1">
        <v>10</v>
      </c>
      <c r="F12" s="12">
        <v>246.46</v>
      </c>
      <c r="G12" s="1" t="str">
        <f>VLOOKUP($E12,Employés!$A:$M,2,FALSE)</f>
        <v>GALOTTI Marc</v>
      </c>
    </row>
    <row r="13" spans="1:7">
      <c r="A13" t="s">
        <v>144</v>
      </c>
      <c r="B13" s="10">
        <v>43949</v>
      </c>
      <c r="C13" t="s">
        <v>111</v>
      </c>
      <c r="D13" t="s">
        <v>127</v>
      </c>
      <c r="E13" s="1">
        <v>10</v>
      </c>
      <c r="F13" s="12">
        <v>752.98</v>
      </c>
      <c r="G13" s="1" t="str">
        <f>VLOOKUP($E13,Employés!$A:$M,2,FALSE)</f>
        <v>GALOTTI Marc</v>
      </c>
    </row>
    <row r="14" spans="1:7">
      <c r="A14" t="s">
        <v>145</v>
      </c>
      <c r="B14" s="10">
        <v>44003</v>
      </c>
      <c r="C14" t="s">
        <v>111</v>
      </c>
      <c r="D14" t="s">
        <v>126</v>
      </c>
      <c r="E14" s="1">
        <v>23</v>
      </c>
      <c r="F14" s="12">
        <v>3659.69</v>
      </c>
      <c r="G14" s="1" t="str">
        <f>VLOOKUP($E14,Employés!$A:$M,2,FALSE)</f>
        <v>POINCARE Charles</v>
      </c>
    </row>
    <row r="15" spans="1:7">
      <c r="A15" t="s">
        <v>146</v>
      </c>
      <c r="B15" s="10">
        <v>44012</v>
      </c>
      <c r="C15" t="s">
        <v>111</v>
      </c>
      <c r="D15" t="s">
        <v>129</v>
      </c>
      <c r="E15" s="1">
        <v>7</v>
      </c>
      <c r="F15" s="12">
        <v>1459.92</v>
      </c>
      <c r="G15" s="1" t="str">
        <f>VLOOKUP($E15,Employés!$A:$M,2,FALSE)</f>
        <v>BASCHET Françoise</v>
      </c>
    </row>
    <row r="16" spans="1:7">
      <c r="A16" t="s">
        <v>147</v>
      </c>
      <c r="B16" s="10">
        <v>44012</v>
      </c>
      <c r="C16" t="s">
        <v>111</v>
      </c>
      <c r="D16" t="s">
        <v>126</v>
      </c>
      <c r="E16" s="1">
        <v>10</v>
      </c>
      <c r="F16" s="12">
        <v>7541.33</v>
      </c>
      <c r="G16" s="1" t="str">
        <f>VLOOKUP($E16,Employés!$A:$M,2,FALSE)</f>
        <v>GALOTTI Marc</v>
      </c>
    </row>
    <row r="17" spans="1:7">
      <c r="A17" t="s">
        <v>148</v>
      </c>
      <c r="B17" s="10">
        <v>44012</v>
      </c>
      <c r="C17" t="s">
        <v>111</v>
      </c>
      <c r="D17" t="s">
        <v>128</v>
      </c>
      <c r="E17" s="1">
        <v>7</v>
      </c>
      <c r="F17" s="12">
        <v>527.75</v>
      </c>
      <c r="G17" s="1" t="str">
        <f>VLOOKUP($E17,Employés!$A:$M,2,FALSE)</f>
        <v>BASCHET Françoise</v>
      </c>
    </row>
    <row r="18" spans="1:7">
      <c r="A18" t="s">
        <v>149</v>
      </c>
      <c r="B18" s="10">
        <v>44066</v>
      </c>
      <c r="C18" t="s">
        <v>111</v>
      </c>
      <c r="D18" t="s">
        <v>127</v>
      </c>
      <c r="E18" s="1">
        <v>7</v>
      </c>
      <c r="F18" s="12">
        <v>1051.0899999999999</v>
      </c>
      <c r="G18" s="1" t="str">
        <f>VLOOKUP($E18,Employés!$A:$M,2,FALSE)</f>
        <v>BASCHET Françoise</v>
      </c>
    </row>
    <row r="19" spans="1:7">
      <c r="A19" t="s">
        <v>150</v>
      </c>
      <c r="B19" s="10">
        <v>44075</v>
      </c>
      <c r="C19" t="s">
        <v>111</v>
      </c>
      <c r="D19" t="s">
        <v>126</v>
      </c>
      <c r="E19" s="1">
        <v>23</v>
      </c>
      <c r="F19" s="12">
        <v>3471.13</v>
      </c>
      <c r="G19" s="1" t="str">
        <f>VLOOKUP($E19,Employés!$A:$M,2,FALSE)</f>
        <v>POINCARE Charles</v>
      </c>
    </row>
    <row r="20" spans="1:7">
      <c r="A20" t="s">
        <v>151</v>
      </c>
      <c r="B20" s="10">
        <v>44077</v>
      </c>
      <c r="C20" t="s">
        <v>111</v>
      </c>
      <c r="D20" t="s">
        <v>128</v>
      </c>
      <c r="E20" s="1">
        <v>7</v>
      </c>
      <c r="F20" s="12">
        <v>485.24</v>
      </c>
      <c r="G20" s="1" t="str">
        <f>VLOOKUP($E20,Employés!$A:$M,2,FALSE)</f>
        <v>BASCHET Françoise</v>
      </c>
    </row>
    <row r="21" spans="1:7">
      <c r="A21" t="s">
        <v>152</v>
      </c>
      <c r="B21" s="10">
        <v>44079</v>
      </c>
      <c r="C21" t="s">
        <v>111</v>
      </c>
      <c r="D21" t="s">
        <v>126</v>
      </c>
      <c r="E21" s="1">
        <v>10</v>
      </c>
      <c r="F21" s="12">
        <v>1709.07</v>
      </c>
      <c r="G21" s="1" t="str">
        <f>VLOOKUP($E21,Employés!$A:$M,2,FALSE)</f>
        <v>GALOTTI Marc</v>
      </c>
    </row>
    <row r="22" spans="1:7">
      <c r="A22" t="s">
        <v>153</v>
      </c>
      <c r="B22" s="10">
        <v>44091</v>
      </c>
      <c r="C22" t="s">
        <v>111</v>
      </c>
      <c r="D22" t="s">
        <v>127</v>
      </c>
      <c r="E22" s="1">
        <v>7</v>
      </c>
      <c r="F22" s="12">
        <v>431.49</v>
      </c>
      <c r="G22" s="1" t="str">
        <f>VLOOKUP($E22,Employés!$A:$M,2,FALSE)</f>
        <v>BASCHET Françoise</v>
      </c>
    </row>
    <row r="23" spans="1:7">
      <c r="A23" t="s">
        <v>154</v>
      </c>
      <c r="B23" s="10">
        <v>44093</v>
      </c>
      <c r="C23" t="s">
        <v>111</v>
      </c>
      <c r="D23" t="s">
        <v>128</v>
      </c>
      <c r="E23" s="1">
        <v>7</v>
      </c>
      <c r="F23" s="12">
        <v>198.85</v>
      </c>
      <c r="G23" s="1" t="str">
        <f>VLOOKUP($E23,Employés!$A:$M,2,FALSE)</f>
        <v>BASCHET Françoise</v>
      </c>
    </row>
    <row r="24" spans="1:7">
      <c r="A24" t="s">
        <v>155</v>
      </c>
      <c r="B24" s="10">
        <v>44097</v>
      </c>
      <c r="C24" t="s">
        <v>111</v>
      </c>
      <c r="D24" t="s">
        <v>126</v>
      </c>
      <c r="E24" s="1">
        <v>23</v>
      </c>
      <c r="F24" s="12">
        <v>750.88</v>
      </c>
      <c r="G24" s="1" t="str">
        <f>VLOOKUP($E24,Employés!$A:$M,2,FALSE)</f>
        <v>POINCARE Charles</v>
      </c>
    </row>
    <row r="25" spans="1:7">
      <c r="A25" t="s">
        <v>156</v>
      </c>
      <c r="B25" s="10">
        <v>44099</v>
      </c>
      <c r="C25" t="s">
        <v>111</v>
      </c>
      <c r="D25" t="s">
        <v>129</v>
      </c>
      <c r="E25" s="1">
        <v>7</v>
      </c>
      <c r="F25" s="12">
        <v>671.04</v>
      </c>
      <c r="G25" s="1" t="str">
        <f>VLOOKUP($E25,Employés!$A:$M,2,FALSE)</f>
        <v>BASCHET Françoise</v>
      </c>
    </row>
    <row r="26" spans="1:7">
      <c r="A26" t="s">
        <v>157</v>
      </c>
      <c r="B26" s="10">
        <v>44012</v>
      </c>
      <c r="C26" t="s">
        <v>112</v>
      </c>
      <c r="D26" t="s">
        <v>127</v>
      </c>
      <c r="E26" s="1">
        <v>23</v>
      </c>
      <c r="F26" s="12">
        <v>9367.8700000000008</v>
      </c>
      <c r="G26" s="1" t="str">
        <f>VLOOKUP($E26,Employés!$A:$M,2,FALSE)</f>
        <v>POINCARE Charles</v>
      </c>
    </row>
    <row r="27" spans="1:7">
      <c r="A27" t="s">
        <v>158</v>
      </c>
      <c r="B27" s="10">
        <v>44079</v>
      </c>
      <c r="C27" t="s">
        <v>112</v>
      </c>
      <c r="D27" t="s">
        <v>126</v>
      </c>
      <c r="E27" s="1">
        <v>7</v>
      </c>
      <c r="F27" s="12">
        <v>681.78</v>
      </c>
      <c r="G27" s="1" t="str">
        <f>VLOOKUP($E27,Employés!$A:$M,2,FALSE)</f>
        <v>BASCHET Françoise</v>
      </c>
    </row>
    <row r="28" spans="1:7">
      <c r="A28" t="s">
        <v>159</v>
      </c>
      <c r="B28" s="10">
        <v>44101</v>
      </c>
      <c r="C28" t="s">
        <v>112</v>
      </c>
      <c r="D28" t="s">
        <v>127</v>
      </c>
      <c r="E28" s="1">
        <v>10</v>
      </c>
      <c r="F28" s="12">
        <v>204.01</v>
      </c>
      <c r="G28" s="1" t="str">
        <f>VLOOKUP($E28,Employés!$A:$M,2,FALSE)</f>
        <v>GALOTTI Marc</v>
      </c>
    </row>
    <row r="29" spans="1:7">
      <c r="A29" t="s">
        <v>160</v>
      </c>
      <c r="B29" s="10">
        <v>44012</v>
      </c>
      <c r="C29" t="s">
        <v>113</v>
      </c>
      <c r="D29" t="s">
        <v>126</v>
      </c>
      <c r="E29" s="1">
        <v>10</v>
      </c>
      <c r="F29" s="12">
        <v>7853.7</v>
      </c>
      <c r="G29" s="1" t="str">
        <f>VLOOKUP($E29,Employés!$A:$M,2,FALSE)</f>
        <v>GALOTTI Marc</v>
      </c>
    </row>
    <row r="30" spans="1:7">
      <c r="A30" t="s">
        <v>161</v>
      </c>
      <c r="B30" s="10">
        <v>44021</v>
      </c>
      <c r="C30" t="s">
        <v>114</v>
      </c>
      <c r="D30" t="s">
        <v>128</v>
      </c>
      <c r="E30" s="1">
        <v>10</v>
      </c>
      <c r="F30" s="12">
        <v>923.97</v>
      </c>
      <c r="G30" s="1" t="str">
        <f>VLOOKUP($E30,Employés!$A:$M,2,FALSE)</f>
        <v>GALOTTI Marc</v>
      </c>
    </row>
    <row r="31" spans="1:7">
      <c r="A31" t="s">
        <v>162</v>
      </c>
      <c r="B31" s="10">
        <v>43985</v>
      </c>
      <c r="C31" t="s">
        <v>115</v>
      </c>
      <c r="D31" t="s">
        <v>126</v>
      </c>
      <c r="E31" s="1">
        <v>10</v>
      </c>
      <c r="F31" s="12">
        <v>7432.82</v>
      </c>
      <c r="G31" s="1" t="str">
        <f>VLOOKUP($E31,Employés!$A:$M,2,FALSE)</f>
        <v>GALOTTI Marc</v>
      </c>
    </row>
    <row r="32" spans="1:7">
      <c r="A32" t="s">
        <v>163</v>
      </c>
      <c r="B32" s="10">
        <v>44048</v>
      </c>
      <c r="C32" t="s">
        <v>115</v>
      </c>
      <c r="D32" t="s">
        <v>129</v>
      </c>
      <c r="E32" s="1">
        <v>10</v>
      </c>
      <c r="F32" s="12">
        <v>351.64</v>
      </c>
      <c r="G32" s="1" t="str">
        <f>VLOOKUP($E32,Employés!$A:$M,2,FALSE)</f>
        <v>GALOTTI Marc</v>
      </c>
    </row>
    <row r="33" spans="1:7">
      <c r="A33" t="s">
        <v>164</v>
      </c>
      <c r="B33" s="10">
        <v>44087</v>
      </c>
      <c r="C33" t="s">
        <v>115</v>
      </c>
      <c r="D33" t="s">
        <v>126</v>
      </c>
      <c r="E33" s="1">
        <v>23</v>
      </c>
      <c r="F33" s="12">
        <v>4374.79</v>
      </c>
      <c r="G33" s="1" t="str">
        <f>VLOOKUP($E33,Employés!$A:$M,2,FALSE)</f>
        <v>POINCARE Charles</v>
      </c>
    </row>
    <row r="34" spans="1:7">
      <c r="A34" t="s">
        <v>165</v>
      </c>
      <c r="B34" s="10">
        <v>43834</v>
      </c>
      <c r="C34" t="s">
        <v>116</v>
      </c>
      <c r="D34" t="s">
        <v>126</v>
      </c>
      <c r="E34" s="1">
        <v>7</v>
      </c>
      <c r="F34" s="12">
        <v>391.28</v>
      </c>
      <c r="G34" s="1" t="str">
        <f>VLOOKUP($E34,Employés!$A:$M,2,FALSE)</f>
        <v>BASCHET Françoise</v>
      </c>
    </row>
    <row r="35" spans="1:7">
      <c r="A35" t="s">
        <v>166</v>
      </c>
      <c r="B35" s="10">
        <v>43833</v>
      </c>
      <c r="C35" t="s">
        <v>117</v>
      </c>
      <c r="D35" t="s">
        <v>128</v>
      </c>
      <c r="E35" s="1">
        <v>7</v>
      </c>
      <c r="F35" s="12">
        <v>203.86</v>
      </c>
      <c r="G35" s="1" t="str">
        <f>VLOOKUP($E35,Employés!$A:$M,2,FALSE)</f>
        <v>BASCHET Françoise</v>
      </c>
    </row>
    <row r="36" spans="1:7">
      <c r="A36" t="s">
        <v>167</v>
      </c>
      <c r="B36" s="10">
        <v>43838</v>
      </c>
      <c r="C36" t="s">
        <v>117</v>
      </c>
      <c r="D36" t="s">
        <v>129</v>
      </c>
      <c r="E36" s="1">
        <v>10</v>
      </c>
      <c r="F36" s="12">
        <v>739.83</v>
      </c>
      <c r="G36" s="1" t="str">
        <f>VLOOKUP($E36,Employés!$A:$M,2,FALSE)</f>
        <v>GALOTTI Marc</v>
      </c>
    </row>
    <row r="37" spans="1:7">
      <c r="A37" t="s">
        <v>168</v>
      </c>
      <c r="B37" s="10">
        <v>43930</v>
      </c>
      <c r="C37" t="s">
        <v>117</v>
      </c>
      <c r="D37" t="s">
        <v>126</v>
      </c>
      <c r="E37" s="1">
        <v>7</v>
      </c>
      <c r="F37" s="12">
        <v>935.47</v>
      </c>
      <c r="G37" s="1" t="str">
        <f>VLOOKUP($E37,Employés!$A:$M,2,FALSE)</f>
        <v>BASCHET Françoise</v>
      </c>
    </row>
    <row r="38" spans="1:7">
      <c r="A38" t="s">
        <v>169</v>
      </c>
      <c r="B38" s="10">
        <v>43847</v>
      </c>
      <c r="C38" t="s">
        <v>118</v>
      </c>
      <c r="D38" t="s">
        <v>126</v>
      </c>
      <c r="E38" s="1">
        <v>23</v>
      </c>
      <c r="F38" s="12">
        <v>606.66</v>
      </c>
      <c r="G38" s="1" t="str">
        <f>VLOOKUP($E38,Employés!$A:$M,2,FALSE)</f>
        <v>POINCARE Charles</v>
      </c>
    </row>
    <row r="39" spans="1:7">
      <c r="A39" t="s">
        <v>170</v>
      </c>
      <c r="B39" s="10">
        <v>43994</v>
      </c>
      <c r="C39" t="s">
        <v>119</v>
      </c>
      <c r="D39" t="s">
        <v>127</v>
      </c>
      <c r="E39" s="1">
        <v>7</v>
      </c>
      <c r="F39" s="12">
        <v>1039.05</v>
      </c>
      <c r="G39" s="1" t="str">
        <f>VLOOKUP($E39,Employés!$A:$M,2,FALSE)</f>
        <v>BASCHET Françoise</v>
      </c>
    </row>
    <row r="40" spans="1:7">
      <c r="A40" t="s">
        <v>171</v>
      </c>
      <c r="B40" s="10">
        <v>44057</v>
      </c>
      <c r="C40" t="s">
        <v>119</v>
      </c>
      <c r="D40" t="s">
        <v>128</v>
      </c>
      <c r="E40" s="1">
        <v>23</v>
      </c>
      <c r="F40" s="12">
        <v>535.9</v>
      </c>
      <c r="G40" s="1" t="str">
        <f>VLOOKUP($E40,Employés!$A:$M,2,FALSE)</f>
        <v>POINCARE Charles</v>
      </c>
    </row>
    <row r="41" spans="1:7">
      <c r="A41" t="s">
        <v>172</v>
      </c>
      <c r="B41" s="10">
        <v>44089</v>
      </c>
      <c r="C41" t="s">
        <v>119</v>
      </c>
      <c r="D41" t="s">
        <v>126</v>
      </c>
      <c r="E41" s="1">
        <v>10</v>
      </c>
      <c r="F41" s="12">
        <v>3667.68</v>
      </c>
      <c r="G41" s="1" t="str">
        <f>VLOOKUP($E41,Employés!$A:$M,2,FALSE)</f>
        <v>GALOTTI Marc</v>
      </c>
    </row>
    <row r="42" spans="1:7">
      <c r="A42" t="s">
        <v>173</v>
      </c>
      <c r="B42" s="10">
        <v>43939</v>
      </c>
      <c r="C42" t="s">
        <v>120</v>
      </c>
      <c r="D42" t="s">
        <v>126</v>
      </c>
      <c r="E42" s="1">
        <v>10</v>
      </c>
      <c r="F42" s="12">
        <v>917.38</v>
      </c>
      <c r="G42" s="1" t="str">
        <f>VLOOKUP($E42,Employés!$A:$M,2,FALSE)</f>
        <v>GALOTTI Marc</v>
      </c>
    </row>
    <row r="43" spans="1:7">
      <c r="A43" t="s">
        <v>174</v>
      </c>
      <c r="B43" s="10">
        <v>43911</v>
      </c>
      <c r="C43" t="s">
        <v>121</v>
      </c>
      <c r="D43" t="s">
        <v>129</v>
      </c>
      <c r="E43" s="1">
        <v>7</v>
      </c>
      <c r="F43" s="12">
        <v>348.55</v>
      </c>
      <c r="G43" s="1" t="str">
        <f>VLOOKUP($E43,Employés!$A:$M,2,FALSE)</f>
        <v>BASCHET Françoise</v>
      </c>
    </row>
    <row r="44" spans="1:7">
      <c r="A44" t="s">
        <v>175</v>
      </c>
      <c r="B44" s="10">
        <v>43958</v>
      </c>
      <c r="C44" t="s">
        <v>122</v>
      </c>
      <c r="D44" t="s">
        <v>127</v>
      </c>
      <c r="E44" s="1">
        <v>7</v>
      </c>
      <c r="F44" s="12">
        <v>1147.55</v>
      </c>
      <c r="G44" s="1" t="str">
        <f>VLOOKUP($E44,Employés!$A:$M,2,FALSE)</f>
        <v>BASCHET Françoise</v>
      </c>
    </row>
    <row r="45" spans="1:7">
      <c r="A45" t="s">
        <v>176</v>
      </c>
      <c r="B45" s="10">
        <v>44030</v>
      </c>
      <c r="C45" t="s">
        <v>122</v>
      </c>
      <c r="D45" t="s">
        <v>127</v>
      </c>
      <c r="E45" s="1">
        <v>23</v>
      </c>
      <c r="F45" s="12">
        <v>436.86</v>
      </c>
      <c r="G45" s="1" t="str">
        <f>VLOOKUP($E45,Employés!$A:$M,2,FALSE)</f>
        <v>POINCARE Charles</v>
      </c>
    </row>
    <row r="46" spans="1:7">
      <c r="A46" t="s">
        <v>177</v>
      </c>
      <c r="B46" s="10">
        <v>44083</v>
      </c>
      <c r="C46" t="s">
        <v>122</v>
      </c>
      <c r="D46" t="s">
        <v>126</v>
      </c>
      <c r="E46" s="1">
        <v>7</v>
      </c>
      <c r="F46" s="12">
        <v>3521.8</v>
      </c>
      <c r="G46" s="1" t="str">
        <f>VLOOKUP($E46,Employés!$A:$M,2,FALSE)</f>
        <v>BASCHET Françoise</v>
      </c>
    </row>
    <row r="47" spans="1:7">
      <c r="A47" t="s">
        <v>178</v>
      </c>
      <c r="B47" s="10">
        <v>43874</v>
      </c>
      <c r="C47" t="s">
        <v>123</v>
      </c>
      <c r="D47" t="s">
        <v>126</v>
      </c>
      <c r="E47" s="1">
        <v>10</v>
      </c>
      <c r="F47" s="12">
        <v>935.47</v>
      </c>
      <c r="G47" s="1" t="str">
        <f>VLOOKUP($E47,Employés!$A:$M,2,FALSE)</f>
        <v>GALOTTI Marc</v>
      </c>
    </row>
    <row r="48" spans="1:7">
      <c r="A48" t="s">
        <v>179</v>
      </c>
      <c r="B48" s="10">
        <v>43856</v>
      </c>
      <c r="C48" t="s">
        <v>124</v>
      </c>
      <c r="D48" t="s">
        <v>127</v>
      </c>
      <c r="E48" s="1">
        <v>7</v>
      </c>
      <c r="F48" s="12">
        <v>739.83</v>
      </c>
      <c r="G48" s="1" t="str">
        <f>VLOOKUP($E48,Employés!$A:$M,2,FALSE)</f>
        <v>BASCHET Françoise</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483B1-24EF-3D45-9BD2-D7A4803FC6C6}">
  <dimension ref="A1:B5"/>
  <sheetViews>
    <sheetView workbookViewId="0">
      <selection activeCell="B3" sqref="B3"/>
    </sheetView>
  </sheetViews>
  <sheetFormatPr baseColWidth="10" defaultRowHeight="16"/>
  <cols>
    <col min="1" max="1" width="14.33203125" bestFit="1" customWidth="1"/>
    <col min="2" max="2" width="12.5" customWidth="1"/>
  </cols>
  <sheetData>
    <row r="1" spans="1:2">
      <c r="A1" s="8" t="s">
        <v>125</v>
      </c>
      <c r="B1" t="s">
        <v>131</v>
      </c>
    </row>
    <row r="2" spans="1:2">
      <c r="A2" t="s">
        <v>126</v>
      </c>
      <c r="B2">
        <f>COUNTIF(Ventes!D:D,Produits!$A2)</f>
        <v>21</v>
      </c>
    </row>
    <row r="3" spans="1:2">
      <c r="A3" t="s">
        <v>127</v>
      </c>
      <c r="B3">
        <f>COUNTIF(Ventes!D:D,Produits!$A3)</f>
        <v>12</v>
      </c>
    </row>
    <row r="4" spans="1:2">
      <c r="A4" t="s">
        <v>128</v>
      </c>
      <c r="B4">
        <f>COUNTIF(Ventes!D:D,Produits!$A4)</f>
        <v>8</v>
      </c>
    </row>
    <row r="5" spans="1:2">
      <c r="A5" t="s">
        <v>129</v>
      </c>
      <c r="B5">
        <f>COUNTIF(Ventes!D:D,Produits!$A5)</f>
        <v>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E47A7-31D4-B94B-AAE9-20A3FFA96CD0}">
  <dimension ref="A1:J50"/>
  <sheetViews>
    <sheetView topLeftCell="A16" workbookViewId="0">
      <selection activeCell="H33" sqref="H33"/>
    </sheetView>
  </sheetViews>
  <sheetFormatPr baseColWidth="10" defaultRowHeight="16"/>
  <cols>
    <col min="1" max="1" width="20.1640625" bestFit="1" customWidth="1"/>
    <col min="2" max="2" width="22.83203125" bestFit="1" customWidth="1"/>
    <col min="3" max="4" width="13.5" bestFit="1" customWidth="1"/>
    <col min="5" max="5" width="13" customWidth="1"/>
    <col min="6" max="7" width="12" bestFit="1" customWidth="1"/>
    <col min="8" max="8" width="17" bestFit="1" customWidth="1"/>
    <col min="9" max="9" width="20.83203125" bestFit="1" customWidth="1"/>
    <col min="10" max="10" width="16.83203125" bestFit="1" customWidth="1"/>
    <col min="11" max="11" width="14" bestFit="1" customWidth="1"/>
    <col min="12" max="12" width="16.6640625" bestFit="1" customWidth="1"/>
    <col min="13" max="13" width="11.1640625" bestFit="1" customWidth="1"/>
    <col min="14" max="14" width="13.6640625" bestFit="1" customWidth="1"/>
    <col min="15" max="15" width="13.33203125" bestFit="1" customWidth="1"/>
    <col min="16" max="16" width="15.83203125" bestFit="1" customWidth="1"/>
    <col min="17" max="17" width="12.83203125" bestFit="1" customWidth="1"/>
    <col min="18" max="18" width="15.33203125" bestFit="1" customWidth="1"/>
    <col min="19" max="19" width="12.1640625" bestFit="1" customWidth="1"/>
    <col min="20" max="20" width="14.6640625" bestFit="1" customWidth="1"/>
    <col min="21" max="21" width="7" bestFit="1" customWidth="1"/>
    <col min="22" max="22" width="9.5" bestFit="1" customWidth="1"/>
    <col min="23" max="23" width="10.1640625" bestFit="1" customWidth="1"/>
    <col min="24" max="24" width="12.6640625" bestFit="1" customWidth="1"/>
    <col min="25" max="26" width="13.33203125" bestFit="1" customWidth="1"/>
    <col min="27" max="27" width="15.83203125" bestFit="1" customWidth="1"/>
    <col min="28" max="29" width="11.5" bestFit="1" customWidth="1"/>
    <col min="30" max="30" width="14" bestFit="1" customWidth="1"/>
    <col min="31" max="32" width="13.33203125" bestFit="1" customWidth="1"/>
    <col min="33" max="33" width="15.83203125" bestFit="1" customWidth="1"/>
    <col min="34" max="35" width="11.6640625" bestFit="1" customWidth="1"/>
    <col min="36" max="36" width="14.1640625" bestFit="1" customWidth="1"/>
    <col min="37" max="37" width="12" bestFit="1" customWidth="1"/>
  </cols>
  <sheetData>
    <row r="1" spans="1:10">
      <c r="A1" s="15" t="s">
        <v>5</v>
      </c>
      <c r="B1" t="s">
        <v>187</v>
      </c>
    </row>
    <row r="3" spans="1:10">
      <c r="A3" s="17"/>
      <c r="B3" s="16" t="s">
        <v>181</v>
      </c>
      <c r="C3" s="17"/>
      <c r="D3" s="17"/>
      <c r="E3" s="17"/>
      <c r="F3" s="17"/>
      <c r="G3" s="17"/>
      <c r="H3" s="17"/>
      <c r="I3" s="17"/>
      <c r="J3" s="17"/>
    </row>
    <row r="4" spans="1:10">
      <c r="A4" s="17"/>
      <c r="B4" s="37" t="s">
        <v>29</v>
      </c>
      <c r="C4" s="38"/>
      <c r="D4" s="38"/>
      <c r="E4" s="37" t="s">
        <v>11</v>
      </c>
      <c r="F4" s="38"/>
      <c r="G4" s="38"/>
      <c r="H4" s="37" t="s">
        <v>183</v>
      </c>
      <c r="I4" s="37" t="s">
        <v>185</v>
      </c>
      <c r="J4" s="37" t="s">
        <v>188</v>
      </c>
    </row>
    <row r="5" spans="1:10" ht="34">
      <c r="A5" s="16" t="s">
        <v>182</v>
      </c>
      <c r="B5" s="18" t="s">
        <v>184</v>
      </c>
      <c r="C5" s="18" t="s">
        <v>186</v>
      </c>
      <c r="D5" s="18" t="s">
        <v>189</v>
      </c>
      <c r="E5" s="18" t="s">
        <v>184</v>
      </c>
      <c r="F5" s="18" t="s">
        <v>186</v>
      </c>
      <c r="G5" s="18" t="s">
        <v>189</v>
      </c>
      <c r="H5" s="38"/>
      <c r="I5" s="38"/>
      <c r="J5" s="38"/>
    </row>
    <row r="6" spans="1:10">
      <c r="A6" s="3" t="s">
        <v>35</v>
      </c>
      <c r="B6" s="20">
        <v>5577.6521936651334</v>
      </c>
      <c r="C6" s="19">
        <v>4</v>
      </c>
      <c r="D6" s="19">
        <v>1</v>
      </c>
      <c r="E6" s="19"/>
      <c r="F6" s="19"/>
      <c r="G6" s="19"/>
      <c r="H6" s="20">
        <v>5577.6521936651334</v>
      </c>
      <c r="I6" s="19">
        <v>4</v>
      </c>
      <c r="J6" s="19">
        <v>1</v>
      </c>
    </row>
    <row r="7" spans="1:10">
      <c r="A7" s="3" t="s">
        <v>31</v>
      </c>
      <c r="B7" s="20">
        <v>2556.3413455455161</v>
      </c>
      <c r="C7" s="19">
        <v>4</v>
      </c>
      <c r="D7" s="19">
        <v>2</v>
      </c>
      <c r="E7" s="19"/>
      <c r="F7" s="19"/>
      <c r="G7" s="19"/>
      <c r="H7" s="20">
        <v>2556.3413455455161</v>
      </c>
      <c r="I7" s="19">
        <v>4</v>
      </c>
      <c r="J7" s="19">
        <v>2</v>
      </c>
    </row>
    <row r="8" spans="1:10">
      <c r="A8" s="3" t="s">
        <v>41</v>
      </c>
      <c r="B8" s="20"/>
      <c r="C8" s="19"/>
      <c r="D8" s="19"/>
      <c r="E8" s="19">
        <v>5112.8351401082691</v>
      </c>
      <c r="F8" s="19">
        <v>4</v>
      </c>
      <c r="G8" s="19">
        <v>1</v>
      </c>
      <c r="H8" s="20">
        <v>5112.8351401082691</v>
      </c>
      <c r="I8" s="19">
        <v>4</v>
      </c>
      <c r="J8" s="19">
        <v>1</v>
      </c>
    </row>
    <row r="9" spans="1:10">
      <c r="A9" s="3" t="s">
        <v>13</v>
      </c>
      <c r="B9" s="20">
        <v>1781.7224807926941</v>
      </c>
      <c r="C9" s="19">
        <v>3.6666666666666665</v>
      </c>
      <c r="D9" s="19">
        <v>3</v>
      </c>
      <c r="E9" s="19">
        <v>10391.936653739329</v>
      </c>
      <c r="F9" s="19">
        <v>3.9</v>
      </c>
      <c r="G9" s="19">
        <v>10</v>
      </c>
      <c r="H9" s="20">
        <v>8404.9641522901038</v>
      </c>
      <c r="I9" s="19">
        <v>3.8461538461538463</v>
      </c>
      <c r="J9" s="19">
        <v>13</v>
      </c>
    </row>
    <row r="10" spans="1:10">
      <c r="A10" s="3" t="s">
        <v>53</v>
      </c>
      <c r="B10" s="20"/>
      <c r="C10" s="19"/>
      <c r="D10" s="19"/>
      <c r="E10" s="19">
        <v>4028.2620151422525</v>
      </c>
      <c r="F10" s="19">
        <v>3.3333333333333335</v>
      </c>
      <c r="G10" s="19">
        <v>3</v>
      </c>
      <c r="H10" s="20">
        <v>4028.2620151422525</v>
      </c>
      <c r="I10" s="19">
        <v>3.3333333333333335</v>
      </c>
      <c r="J10" s="19">
        <v>3</v>
      </c>
    </row>
    <row r="11" spans="1:10">
      <c r="A11" s="3" t="s">
        <v>23</v>
      </c>
      <c r="B11" s="20">
        <v>3602.2178283027697</v>
      </c>
      <c r="C11" s="19">
        <v>3.5</v>
      </c>
      <c r="D11" s="19">
        <v>2</v>
      </c>
      <c r="E11" s="19">
        <v>3373.9035739639426</v>
      </c>
      <c r="F11" s="19">
        <v>3.5</v>
      </c>
      <c r="G11" s="19">
        <v>6</v>
      </c>
      <c r="H11" s="20">
        <v>3430.9821375486495</v>
      </c>
      <c r="I11" s="19">
        <v>3.5</v>
      </c>
      <c r="J11" s="19">
        <v>8</v>
      </c>
    </row>
    <row r="12" spans="1:10">
      <c r="A12" s="3" t="s">
        <v>180</v>
      </c>
      <c r="B12" s="20">
        <v>2904.9922479674733</v>
      </c>
      <c r="C12" s="19">
        <v>3.75</v>
      </c>
      <c r="D12" s="19">
        <v>8</v>
      </c>
      <c r="E12" s="19">
        <v>7068.0204583355999</v>
      </c>
      <c r="F12" s="19">
        <v>3.7</v>
      </c>
      <c r="G12" s="19">
        <v>20</v>
      </c>
      <c r="H12" s="20">
        <v>5878.5838268018479</v>
      </c>
      <c r="I12" s="19">
        <v>3.7142857142857144</v>
      </c>
      <c r="J12" s="19">
        <v>28</v>
      </c>
    </row>
    <row r="18" spans="1:5">
      <c r="A18" s="15" t="s">
        <v>3</v>
      </c>
      <c r="B18" t="s">
        <v>187</v>
      </c>
    </row>
    <row r="20" spans="1:5">
      <c r="A20" s="15" t="s">
        <v>190</v>
      </c>
      <c r="B20" s="15" t="s">
        <v>192</v>
      </c>
    </row>
    <row r="21" spans="1:5">
      <c r="A21" s="15" t="s">
        <v>191</v>
      </c>
      <c r="B21">
        <v>3</v>
      </c>
      <c r="C21">
        <v>4</v>
      </c>
      <c r="D21">
        <v>5</v>
      </c>
      <c r="E21" t="s">
        <v>180</v>
      </c>
    </row>
    <row r="22" spans="1:5">
      <c r="A22" s="3" t="s">
        <v>46</v>
      </c>
      <c r="B22" s="20"/>
      <c r="C22" s="20">
        <v>165.07133851761625</v>
      </c>
      <c r="D22" s="20"/>
      <c r="E22" s="20">
        <v>165.07133851761625</v>
      </c>
    </row>
    <row r="23" spans="1:5">
      <c r="A23" s="3" t="s">
        <v>48</v>
      </c>
      <c r="B23" s="20"/>
      <c r="C23" s="20">
        <v>89.293292090792406</v>
      </c>
      <c r="D23" s="20"/>
      <c r="E23" s="20">
        <v>89.293292090792406</v>
      </c>
    </row>
    <row r="24" spans="1:5">
      <c r="A24" s="3" t="s">
        <v>19</v>
      </c>
      <c r="B24" s="20"/>
      <c r="C24" s="20"/>
      <c r="D24" s="20">
        <v>1893.0487059365173</v>
      </c>
      <c r="E24" s="20">
        <v>1893.0487059365173</v>
      </c>
    </row>
    <row r="25" spans="1:5">
      <c r="A25" s="3" t="s">
        <v>52</v>
      </c>
      <c r="B25" s="20"/>
      <c r="C25" s="20">
        <v>285.92072346205623</v>
      </c>
      <c r="D25" s="20"/>
      <c r="E25" s="20">
        <v>285.92072346205623</v>
      </c>
    </row>
    <row r="26" spans="1:5">
      <c r="A26" s="3" t="s">
        <v>12</v>
      </c>
      <c r="B26" s="20"/>
      <c r="C26" s="20"/>
      <c r="D26" s="20">
        <v>256.29019247975623</v>
      </c>
      <c r="E26" s="20">
        <v>256.29019247975623</v>
      </c>
    </row>
    <row r="27" spans="1:5">
      <c r="A27" s="3" t="s">
        <v>71</v>
      </c>
      <c r="B27" s="20">
        <v>174.30410834856553</v>
      </c>
      <c r="C27" s="20"/>
      <c r="D27" s="20"/>
      <c r="E27" s="20">
        <v>174.30410834856553</v>
      </c>
    </row>
    <row r="28" spans="1:5">
      <c r="A28" s="3" t="s">
        <v>77</v>
      </c>
      <c r="B28" s="20">
        <v>188.24861995527147</v>
      </c>
      <c r="C28" s="20"/>
      <c r="D28" s="20"/>
      <c r="E28" s="20">
        <v>188.24861995527147</v>
      </c>
    </row>
    <row r="29" spans="1:5">
      <c r="A29" s="3" t="s">
        <v>61</v>
      </c>
      <c r="B29" s="20">
        <v>464.94114705689549</v>
      </c>
      <c r="C29" s="20"/>
      <c r="D29" s="20"/>
      <c r="E29" s="20">
        <v>464.94114705689549</v>
      </c>
    </row>
    <row r="30" spans="1:5">
      <c r="A30" s="3" t="s">
        <v>22</v>
      </c>
      <c r="B30" s="20"/>
      <c r="C30" s="20">
        <v>251.6243823909189</v>
      </c>
      <c r="D30" s="20"/>
      <c r="E30" s="20">
        <v>251.6243823909189</v>
      </c>
    </row>
    <row r="31" spans="1:5">
      <c r="A31" s="3" t="s">
        <v>57</v>
      </c>
      <c r="B31" s="20">
        <v>93.573740351882819</v>
      </c>
      <c r="C31" s="20"/>
      <c r="D31" s="20"/>
      <c r="E31" s="20">
        <v>93.573740351882819</v>
      </c>
    </row>
    <row r="32" spans="1:5">
      <c r="A32" s="3" t="s">
        <v>16</v>
      </c>
      <c r="B32" s="20"/>
      <c r="C32" s="20"/>
      <c r="D32" s="20">
        <v>2125.4572327149494</v>
      </c>
      <c r="E32" s="20">
        <v>2125.4572327149494</v>
      </c>
    </row>
    <row r="33" spans="1:6">
      <c r="A33" s="3" t="s">
        <v>74</v>
      </c>
      <c r="B33" s="20">
        <v>160.3595967418596</v>
      </c>
      <c r="C33" s="20"/>
      <c r="D33" s="20"/>
      <c r="E33" s="20">
        <v>160.3595967418596</v>
      </c>
    </row>
    <row r="34" spans="1:6">
      <c r="A34" s="3" t="s">
        <v>30</v>
      </c>
      <c r="B34" s="20">
        <v>148.80350388821219</v>
      </c>
      <c r="C34" s="20">
        <v>124.36615509858116</v>
      </c>
      <c r="D34" s="20"/>
      <c r="E34" s="20">
        <v>129.25362485650734</v>
      </c>
    </row>
    <row r="35" spans="1:6">
      <c r="A35" s="3" t="s">
        <v>55</v>
      </c>
      <c r="B35" s="20">
        <v>197.60700777642438</v>
      </c>
      <c r="C35" s="20">
        <v>230.14267703523251</v>
      </c>
      <c r="D35" s="20"/>
      <c r="E35" s="20">
        <v>213.87484240582845</v>
      </c>
    </row>
    <row r="36" spans="1:6">
      <c r="A36" s="3" t="s">
        <v>26</v>
      </c>
      <c r="B36" s="20">
        <v>173.20525583231827</v>
      </c>
      <c r="C36" s="20">
        <v>175.49603098983624</v>
      </c>
      <c r="D36" s="20"/>
      <c r="E36" s="20">
        <v>174.35064341107727</v>
      </c>
    </row>
    <row r="37" spans="1:6">
      <c r="A37" s="3" t="s">
        <v>34</v>
      </c>
      <c r="B37" s="20">
        <v>426.48809296950861</v>
      </c>
      <c r="C37" s="20">
        <v>1097.5685525118263</v>
      </c>
      <c r="D37" s="20"/>
      <c r="E37" s="20">
        <v>873.87506599772041</v>
      </c>
    </row>
    <row r="38" spans="1:6">
      <c r="A38" s="3" t="s">
        <v>180</v>
      </c>
      <c r="B38" s="20">
        <v>208.57364264592178</v>
      </c>
      <c r="C38" s="20">
        <v>308.37647023465604</v>
      </c>
      <c r="D38" s="20">
        <v>1424.9320437104077</v>
      </c>
      <c r="E38" s="20">
        <v>388.7991708400553</v>
      </c>
    </row>
    <row r="45" spans="1:6">
      <c r="A45" s="15" t="s">
        <v>193</v>
      </c>
      <c r="B45" s="15" t="s">
        <v>195</v>
      </c>
    </row>
    <row r="46" spans="1:6">
      <c r="A46" s="15" t="s">
        <v>196</v>
      </c>
      <c r="B46" t="s">
        <v>128</v>
      </c>
      <c r="C46" t="s">
        <v>126</v>
      </c>
      <c r="D46" t="s">
        <v>127</v>
      </c>
      <c r="E46" t="s">
        <v>129</v>
      </c>
      <c r="F46" t="s">
        <v>180</v>
      </c>
    </row>
    <row r="47" spans="1:6">
      <c r="A47" s="3" t="s">
        <v>33</v>
      </c>
      <c r="B47" s="22">
        <v>1415.6999999999998</v>
      </c>
      <c r="C47" s="22">
        <v>6960.67</v>
      </c>
      <c r="D47" s="22">
        <v>6198.7</v>
      </c>
      <c r="E47" s="22">
        <v>3916.42</v>
      </c>
      <c r="F47" s="22">
        <v>18491.489999999998</v>
      </c>
    </row>
    <row r="48" spans="1:6">
      <c r="A48" s="3" t="s">
        <v>40</v>
      </c>
      <c r="B48" s="22">
        <v>1170.43</v>
      </c>
      <c r="C48" s="22">
        <v>34290.9</v>
      </c>
      <c r="D48" s="22">
        <v>956.99</v>
      </c>
      <c r="E48" s="22">
        <v>1091.47</v>
      </c>
      <c r="F48" s="22">
        <v>37509.79</v>
      </c>
    </row>
    <row r="49" spans="1:6">
      <c r="A49" s="3" t="s">
        <v>65</v>
      </c>
      <c r="B49" s="22">
        <v>1288.8800000000001</v>
      </c>
      <c r="C49" s="22">
        <v>12863.15</v>
      </c>
      <c r="D49" s="22">
        <v>9804.7300000000014</v>
      </c>
      <c r="E49" s="22"/>
      <c r="F49" s="22">
        <v>23956.760000000002</v>
      </c>
    </row>
    <row r="50" spans="1:6">
      <c r="A50" s="3" t="s">
        <v>180</v>
      </c>
      <c r="B50" s="22">
        <v>3875.01</v>
      </c>
      <c r="C50" s="22">
        <v>54114.720000000001</v>
      </c>
      <c r="D50" s="22">
        <v>16960.420000000002</v>
      </c>
      <c r="E50" s="22">
        <v>5007.8900000000003</v>
      </c>
      <c r="F50" s="22">
        <v>79958.040000000008</v>
      </c>
    </row>
  </sheetData>
  <mergeCells count="5">
    <mergeCell ref="B4:D4"/>
    <mergeCell ref="E4:G4"/>
    <mergeCell ref="H4:H5"/>
    <mergeCell ref="I4:I5"/>
    <mergeCell ref="J4: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8E66-74CA-C346-8A8E-039CC1E7301F}">
  <dimension ref="A1:G9"/>
  <sheetViews>
    <sheetView workbookViewId="0">
      <selection activeCell="A10" sqref="A10"/>
    </sheetView>
  </sheetViews>
  <sheetFormatPr baseColWidth="10" defaultRowHeight="16"/>
  <cols>
    <col min="1" max="1" width="16" customWidth="1"/>
    <col min="2" max="2" width="12.1640625" bestFit="1" customWidth="1"/>
  </cols>
  <sheetData>
    <row r="1" spans="1:7">
      <c r="A1" s="24" t="s">
        <v>198</v>
      </c>
      <c r="B1" s="25"/>
    </row>
    <row r="2" spans="1:7">
      <c r="A2" s="26" t="s">
        <v>200</v>
      </c>
    </row>
    <row r="3" spans="1:7" ht="32">
      <c r="A3" s="27" t="s">
        <v>130</v>
      </c>
      <c r="B3" s="28" t="s">
        <v>100</v>
      </c>
      <c r="C3" s="29" t="s">
        <v>101</v>
      </c>
      <c r="D3" s="29" t="s">
        <v>125</v>
      </c>
      <c r="E3" s="29" t="s">
        <v>34</v>
      </c>
      <c r="F3" s="30" t="s">
        <v>199</v>
      </c>
      <c r="G3" s="31" t="s">
        <v>194</v>
      </c>
    </row>
    <row r="4" spans="1:7">
      <c r="A4" s="32"/>
      <c r="B4" s="36">
        <v>43893</v>
      </c>
      <c r="C4" s="33"/>
      <c r="D4" s="33" t="s">
        <v>127</v>
      </c>
      <c r="E4" s="33"/>
      <c r="F4" s="33"/>
      <c r="G4" s="34"/>
    </row>
    <row r="6" spans="1:7">
      <c r="A6" s="23" t="s">
        <v>201</v>
      </c>
      <c r="B6" s="12">
        <f>DSUM(Ventes!$A:$G,"MONTANT",$A$3:$G$4)</f>
        <v>935.47</v>
      </c>
    </row>
    <row r="7" spans="1:7">
      <c r="A7" s="23" t="s">
        <v>202</v>
      </c>
      <c r="B7" s="12">
        <f>DAVERAGE(Ventes!$A:$G,"MONTANT",$A$3:$G$4)</f>
        <v>935.47</v>
      </c>
    </row>
    <row r="8" spans="1:7">
      <c r="A8" s="23" t="s">
        <v>203</v>
      </c>
      <c r="B8" s="35">
        <f>DCOUNTA(Ventes!$A:$G,"CONTRAT",$A$3:$G$4)</f>
        <v>1</v>
      </c>
    </row>
    <row r="9" spans="1:7">
      <c r="A9" s="23" t="s">
        <v>196</v>
      </c>
      <c r="B9" s="12" t="str">
        <f>DGET(Ventes!$A:$G,"NOM VENDEUR",$A$3:$G$4)</f>
        <v>BASCHET Françoise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Employés</vt:lpstr>
      <vt:lpstr>Ventes</vt:lpstr>
      <vt:lpstr>Produits</vt:lpstr>
      <vt:lpstr>Tableaux</vt:lpstr>
      <vt:lpstr>Recherche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Manuele Kirsch Pinheiro</dc:creator>
  <cp:lastModifiedBy>Manu</cp:lastModifiedBy>
  <dcterms:created xsi:type="dcterms:W3CDTF">2020-02-02T15:25:28Z</dcterms:created>
  <dcterms:modified xsi:type="dcterms:W3CDTF">2021-10-06T22:03:14Z</dcterms:modified>
</cp:coreProperties>
</file>