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Excel/Examen Sujet Deplacements 2025/"/>
    </mc:Choice>
  </mc:AlternateContent>
  <xr:revisionPtr revIDLastSave="0" documentId="13_ncr:1_{BDF2C9C1-52CE-CF40-BEF9-2D347CE10289}" xr6:coauthVersionLast="47" xr6:coauthVersionMax="47" xr10:uidLastSave="{00000000-0000-0000-0000-000000000000}"/>
  <bookViews>
    <workbookView xWindow="2920" yWindow="2920" windowWidth="28040" windowHeight="17440" firstSheet="1" activeTab="9" xr2:uid="{A35108CC-363A-A344-88B9-C5D88E9220DB}"/>
  </bookViews>
  <sheets>
    <sheet name="Employés" sheetId="1" r:id="rId1"/>
    <sheet name="Projets" sheetId="2" r:id="rId2"/>
    <sheet name="Déplacements" sheetId="3" r:id="rId3"/>
    <sheet name="Taux" sheetId="4" r:id="rId4"/>
    <sheet name="voitures_disponibles" sheetId="6" r:id="rId5"/>
    <sheet name="villes" sheetId="5" r:id="rId6"/>
    <sheet name="TCD employes" sheetId="7" r:id="rId7"/>
    <sheet name="TCD KMs" sheetId="8" r:id="rId8"/>
    <sheet name="TCD domaines" sheetId="9" r:id="rId9"/>
    <sheet name="TCD âges" sheetId="10" r:id="rId10"/>
  </sheets>
  <definedNames>
    <definedName name="Destination">Déplacements!$C:$C</definedName>
    <definedName name="DonnéesExternes_1" localSheetId="5" hidden="1">villes!$A$1:$E$101</definedName>
    <definedName name="DonnéesExternes_2" localSheetId="4" hidden="1">voitures_disponibles!$A$1:$L$11</definedName>
    <definedName name="EmissionCO2Moy">Taux!$L$2:$L$3</definedName>
    <definedName name="Employes">Employés!$A:$I</definedName>
    <definedName name="limiteKgCO2">Taux!$G$2</definedName>
    <definedName name="Matr_Deplacements">Déplacements!$A:$A</definedName>
    <definedName name="Matr_Employes">Employés!$A:$A</definedName>
    <definedName name="ModesTransp">Taux!$K$2:$K$3</definedName>
    <definedName name="NP_Deplacements">Déplacements!$B:$B</definedName>
    <definedName name="Nuitées">Taux!$B$1:$B$6</definedName>
    <definedName name="PrixKM">Taux!$G$5</definedName>
    <definedName name="Projets">Projets!$A:$I</definedName>
    <definedName name="Seuil_population">Taux!$A$1:$A$6</definedName>
  </definedNames>
  <calcPr calcId="191029"/>
  <pivotCaches>
    <pivotCache cacheId="109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3" l="1"/>
  <c r="J3" i="3"/>
  <c r="N3" i="3" s="1"/>
  <c r="J4" i="3"/>
  <c r="N4" i="3" s="1"/>
  <c r="J5" i="3"/>
  <c r="N5" i="3" s="1"/>
  <c r="J6" i="3"/>
  <c r="N6" i="3" s="1"/>
  <c r="J7" i="3"/>
  <c r="N7" i="3" s="1"/>
  <c r="J8" i="3"/>
  <c r="J9" i="3"/>
  <c r="J10" i="3"/>
  <c r="J11" i="3"/>
  <c r="J12" i="3"/>
  <c r="N12" i="3" s="1"/>
  <c r="J13" i="3"/>
  <c r="N13" i="3" s="1"/>
  <c r="J14" i="3"/>
  <c r="N14" i="3" s="1"/>
  <c r="J15" i="3"/>
  <c r="J16" i="3"/>
  <c r="N16" i="3" s="1"/>
  <c r="J17" i="3"/>
  <c r="J18" i="3"/>
  <c r="J19" i="3"/>
  <c r="J20" i="3"/>
  <c r="J21" i="3"/>
  <c r="J22" i="3"/>
  <c r="N22" i="3" s="1"/>
  <c r="J23" i="3"/>
  <c r="N23" i="3" s="1"/>
  <c r="J24" i="3"/>
  <c r="N24" i="3" s="1"/>
  <c r="J25" i="3"/>
  <c r="N25" i="3" s="1"/>
  <c r="J26" i="3"/>
  <c r="N26" i="3" s="1"/>
  <c r="J27" i="3"/>
  <c r="N27" i="3" s="1"/>
  <c r="J28" i="3"/>
  <c r="N28" i="3" s="1"/>
  <c r="J29" i="3"/>
  <c r="J30" i="3"/>
  <c r="J31" i="3"/>
  <c r="N31" i="3" s="1"/>
  <c r="J32" i="3"/>
  <c r="N32" i="3" s="1"/>
  <c r="J33" i="3"/>
  <c r="N33" i="3" s="1"/>
  <c r="J34" i="3"/>
  <c r="N34" i="3" s="1"/>
  <c r="J35" i="3"/>
  <c r="J36" i="3"/>
  <c r="N36" i="3" s="1"/>
  <c r="J37" i="3"/>
  <c r="J38" i="3"/>
  <c r="N38" i="3" s="1"/>
  <c r="J39" i="3"/>
  <c r="J40" i="3"/>
  <c r="J41" i="3"/>
  <c r="N41" i="3" s="1"/>
  <c r="J42" i="3"/>
  <c r="N42" i="3" s="1"/>
  <c r="J43" i="3"/>
  <c r="N43" i="3" s="1"/>
  <c r="J44" i="3"/>
  <c r="N44" i="3" s="1"/>
  <c r="J45" i="3"/>
  <c r="N45" i="3" s="1"/>
  <c r="J46" i="3"/>
  <c r="N46" i="3" s="1"/>
  <c r="J47" i="3"/>
  <c r="N47" i="3" s="1"/>
  <c r="O3" i="3"/>
  <c r="P3" i="3"/>
  <c r="Q3" i="3"/>
  <c r="T3" i="3"/>
  <c r="O4" i="3"/>
  <c r="P4" i="3"/>
  <c r="Q4" i="3"/>
  <c r="T4" i="3"/>
  <c r="O5" i="3"/>
  <c r="P5" i="3"/>
  <c r="Q5" i="3"/>
  <c r="T5" i="3"/>
  <c r="O6" i="3"/>
  <c r="P6" i="3"/>
  <c r="Q6" i="3"/>
  <c r="T6" i="3"/>
  <c r="O7" i="3"/>
  <c r="P7" i="3"/>
  <c r="Q7" i="3"/>
  <c r="T7" i="3"/>
  <c r="O8" i="3"/>
  <c r="P8" i="3"/>
  <c r="Q8" i="3"/>
  <c r="T8" i="3"/>
  <c r="O9" i="3"/>
  <c r="P9" i="3"/>
  <c r="Q9" i="3"/>
  <c r="T9" i="3"/>
  <c r="O10" i="3"/>
  <c r="P10" i="3"/>
  <c r="Q10" i="3"/>
  <c r="T10" i="3"/>
  <c r="O11" i="3"/>
  <c r="P11" i="3"/>
  <c r="Q11" i="3"/>
  <c r="T11" i="3"/>
  <c r="O12" i="3"/>
  <c r="P12" i="3"/>
  <c r="Q12" i="3"/>
  <c r="T12" i="3"/>
  <c r="O13" i="3"/>
  <c r="P13" i="3"/>
  <c r="Q13" i="3"/>
  <c r="T13" i="3"/>
  <c r="O14" i="3"/>
  <c r="P14" i="3"/>
  <c r="Q14" i="3"/>
  <c r="T14" i="3"/>
  <c r="O15" i="3"/>
  <c r="P15" i="3"/>
  <c r="Q15" i="3"/>
  <c r="T15" i="3"/>
  <c r="O16" i="3"/>
  <c r="P16" i="3"/>
  <c r="Q16" i="3"/>
  <c r="T16" i="3"/>
  <c r="O17" i="3"/>
  <c r="P17" i="3"/>
  <c r="Q17" i="3"/>
  <c r="T17" i="3"/>
  <c r="O18" i="3"/>
  <c r="P18" i="3"/>
  <c r="Q18" i="3"/>
  <c r="T18" i="3"/>
  <c r="O19" i="3"/>
  <c r="P19" i="3"/>
  <c r="Q19" i="3"/>
  <c r="T19" i="3"/>
  <c r="O20" i="3"/>
  <c r="P20" i="3"/>
  <c r="Q20" i="3"/>
  <c r="T20" i="3"/>
  <c r="O21" i="3"/>
  <c r="P21" i="3"/>
  <c r="Q21" i="3"/>
  <c r="T21" i="3"/>
  <c r="O22" i="3"/>
  <c r="P22" i="3"/>
  <c r="Q22" i="3"/>
  <c r="T22" i="3"/>
  <c r="O23" i="3"/>
  <c r="P23" i="3"/>
  <c r="Q23" i="3"/>
  <c r="T23" i="3"/>
  <c r="O24" i="3"/>
  <c r="P24" i="3"/>
  <c r="Q24" i="3"/>
  <c r="T24" i="3"/>
  <c r="O25" i="3"/>
  <c r="P25" i="3"/>
  <c r="Q25" i="3"/>
  <c r="T25" i="3"/>
  <c r="O26" i="3"/>
  <c r="P26" i="3"/>
  <c r="Q26" i="3"/>
  <c r="T26" i="3"/>
  <c r="O27" i="3"/>
  <c r="P27" i="3"/>
  <c r="Q27" i="3"/>
  <c r="T27" i="3"/>
  <c r="O28" i="3"/>
  <c r="P28" i="3"/>
  <c r="Q28" i="3"/>
  <c r="T28" i="3"/>
  <c r="O29" i="3"/>
  <c r="P29" i="3"/>
  <c r="Q29" i="3"/>
  <c r="T29" i="3"/>
  <c r="O30" i="3"/>
  <c r="P30" i="3"/>
  <c r="Q30" i="3"/>
  <c r="T30" i="3"/>
  <c r="O31" i="3"/>
  <c r="P31" i="3"/>
  <c r="Q31" i="3"/>
  <c r="T31" i="3"/>
  <c r="O32" i="3"/>
  <c r="P32" i="3"/>
  <c r="Q32" i="3"/>
  <c r="T32" i="3"/>
  <c r="O33" i="3"/>
  <c r="P33" i="3"/>
  <c r="Q33" i="3"/>
  <c r="T33" i="3"/>
  <c r="O34" i="3"/>
  <c r="P34" i="3"/>
  <c r="Q34" i="3"/>
  <c r="T34" i="3"/>
  <c r="O35" i="3"/>
  <c r="P35" i="3"/>
  <c r="Q35" i="3"/>
  <c r="T35" i="3"/>
  <c r="O36" i="3"/>
  <c r="P36" i="3"/>
  <c r="Q36" i="3"/>
  <c r="T36" i="3"/>
  <c r="O37" i="3"/>
  <c r="P37" i="3"/>
  <c r="Q37" i="3"/>
  <c r="T37" i="3"/>
  <c r="O38" i="3"/>
  <c r="P38" i="3"/>
  <c r="Q38" i="3"/>
  <c r="T38" i="3"/>
  <c r="O39" i="3"/>
  <c r="P39" i="3"/>
  <c r="Q39" i="3"/>
  <c r="T39" i="3"/>
  <c r="O40" i="3"/>
  <c r="P40" i="3"/>
  <c r="Q40" i="3"/>
  <c r="T40" i="3"/>
  <c r="O41" i="3"/>
  <c r="P41" i="3"/>
  <c r="Q41" i="3"/>
  <c r="T41" i="3"/>
  <c r="O42" i="3"/>
  <c r="P42" i="3"/>
  <c r="Q42" i="3"/>
  <c r="T42" i="3"/>
  <c r="O43" i="3"/>
  <c r="P43" i="3"/>
  <c r="Q43" i="3"/>
  <c r="T43" i="3"/>
  <c r="O44" i="3"/>
  <c r="P44" i="3"/>
  <c r="Q44" i="3"/>
  <c r="T44" i="3"/>
  <c r="O45" i="3"/>
  <c r="P45" i="3"/>
  <c r="Q45" i="3"/>
  <c r="T45" i="3"/>
  <c r="O46" i="3"/>
  <c r="P46" i="3"/>
  <c r="Q46" i="3"/>
  <c r="T46" i="3"/>
  <c r="O47" i="3"/>
  <c r="P47" i="3"/>
  <c r="Q47" i="3"/>
  <c r="T47" i="3"/>
  <c r="T2" i="3"/>
  <c r="Q2" i="3"/>
  <c r="P2" i="3"/>
  <c r="O2" i="3"/>
  <c r="J6" i="2"/>
  <c r="K6" i="2" s="1"/>
  <c r="J7" i="2"/>
  <c r="K7" i="2" s="1"/>
  <c r="J8" i="2"/>
  <c r="L8" i="2" s="1"/>
  <c r="J9" i="2"/>
  <c r="L9" i="2" s="1"/>
  <c r="J10" i="2"/>
  <c r="L10" i="2" s="1"/>
  <c r="J15" i="2"/>
  <c r="K15" i="2" s="1"/>
  <c r="L6" i="3"/>
  <c r="L8" i="3"/>
  <c r="L12" i="3"/>
  <c r="L16" i="3"/>
  <c r="L18" i="3"/>
  <c r="L22" i="3"/>
  <c r="L26" i="3"/>
  <c r="L28" i="3"/>
  <c r="L36" i="3"/>
  <c r="L38" i="3"/>
  <c r="L46" i="3"/>
  <c r="L2" i="3"/>
  <c r="N8" i="3"/>
  <c r="N9" i="3"/>
  <c r="N10" i="3"/>
  <c r="N11" i="3"/>
  <c r="N15" i="3"/>
  <c r="N17" i="3"/>
  <c r="N18" i="3"/>
  <c r="N19" i="3"/>
  <c r="N20" i="3"/>
  <c r="N21" i="3"/>
  <c r="N29" i="3"/>
  <c r="N30" i="3"/>
  <c r="N35" i="3"/>
  <c r="N37" i="3"/>
  <c r="N39" i="3"/>
  <c r="N40" i="3"/>
  <c r="K7" i="3"/>
  <c r="K15" i="3"/>
  <c r="K16" i="3"/>
  <c r="M16" i="3" s="1"/>
  <c r="K27" i="3"/>
  <c r="K45" i="3"/>
  <c r="K46" i="3"/>
  <c r="K47" i="3"/>
  <c r="M47" i="3" s="1"/>
  <c r="N2" i="3"/>
  <c r="I3" i="3"/>
  <c r="K3" i="3" s="1"/>
  <c r="I4" i="3"/>
  <c r="K4" i="3" s="1"/>
  <c r="I5" i="3"/>
  <c r="K5" i="3" s="1"/>
  <c r="I6" i="3"/>
  <c r="K6" i="3" s="1"/>
  <c r="M6" i="3" s="1"/>
  <c r="I7" i="3"/>
  <c r="L7" i="3" s="1"/>
  <c r="I8" i="3"/>
  <c r="K8" i="3" s="1"/>
  <c r="I9" i="3"/>
  <c r="K9" i="3" s="1"/>
  <c r="I10" i="3"/>
  <c r="K10" i="3" s="1"/>
  <c r="I11" i="3"/>
  <c r="K11" i="3" s="1"/>
  <c r="I12" i="3"/>
  <c r="K12" i="3" s="1"/>
  <c r="M12" i="3" s="1"/>
  <c r="I13" i="3"/>
  <c r="K13" i="3" s="1"/>
  <c r="I14" i="3"/>
  <c r="K14" i="3" s="1"/>
  <c r="I15" i="3"/>
  <c r="L15" i="3" s="1"/>
  <c r="I16" i="3"/>
  <c r="I17" i="3"/>
  <c r="L17" i="3" s="1"/>
  <c r="I18" i="3"/>
  <c r="K18" i="3" s="1"/>
  <c r="I19" i="3"/>
  <c r="K19" i="3" s="1"/>
  <c r="I20" i="3"/>
  <c r="K20" i="3" s="1"/>
  <c r="I21" i="3"/>
  <c r="K21" i="3" s="1"/>
  <c r="I22" i="3"/>
  <c r="K22" i="3" s="1"/>
  <c r="M22" i="3" s="1"/>
  <c r="I23" i="3"/>
  <c r="K23" i="3" s="1"/>
  <c r="I24" i="3"/>
  <c r="K24" i="3" s="1"/>
  <c r="I25" i="3"/>
  <c r="L25" i="3" s="1"/>
  <c r="I26" i="3"/>
  <c r="K26" i="3" s="1"/>
  <c r="M26" i="3" s="1"/>
  <c r="I27" i="3"/>
  <c r="L27" i="3" s="1"/>
  <c r="I28" i="3"/>
  <c r="K28" i="3" s="1"/>
  <c r="I29" i="3"/>
  <c r="K29" i="3" s="1"/>
  <c r="I30" i="3"/>
  <c r="K30" i="3" s="1"/>
  <c r="I31" i="3"/>
  <c r="K31" i="3" s="1"/>
  <c r="I32" i="3"/>
  <c r="K32" i="3" s="1"/>
  <c r="I33" i="3"/>
  <c r="K33" i="3" s="1"/>
  <c r="I34" i="3"/>
  <c r="K34" i="3" s="1"/>
  <c r="I35" i="3"/>
  <c r="K35" i="3" s="1"/>
  <c r="I36" i="3"/>
  <c r="K36" i="3" s="1"/>
  <c r="M36" i="3" s="1"/>
  <c r="I37" i="3"/>
  <c r="K37" i="3" s="1"/>
  <c r="I38" i="3"/>
  <c r="K38" i="3" s="1"/>
  <c r="I39" i="3"/>
  <c r="K39" i="3" s="1"/>
  <c r="I40" i="3"/>
  <c r="K40" i="3" s="1"/>
  <c r="I41" i="3"/>
  <c r="K41" i="3" s="1"/>
  <c r="I42" i="3"/>
  <c r="K42" i="3" s="1"/>
  <c r="I43" i="3"/>
  <c r="K43" i="3" s="1"/>
  <c r="I44" i="3"/>
  <c r="K44" i="3" s="1"/>
  <c r="I45" i="3"/>
  <c r="L45" i="3" s="1"/>
  <c r="I46" i="3"/>
  <c r="I47" i="3"/>
  <c r="L47" i="3" s="1"/>
  <c r="I2" i="3"/>
  <c r="K2" i="3" s="1"/>
  <c r="M2" i="3" s="1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2" i="2"/>
  <c r="F3" i="1"/>
  <c r="S21" i="3" s="1"/>
  <c r="F4" i="1"/>
  <c r="S34" i="3" s="1"/>
  <c r="F5" i="1"/>
  <c r="S29" i="3" s="1"/>
  <c r="F6" i="1"/>
  <c r="S2" i="3" s="1"/>
  <c r="F7" i="1"/>
  <c r="S19" i="3" s="1"/>
  <c r="F8" i="1"/>
  <c r="S4" i="3" s="1"/>
  <c r="F9" i="1"/>
  <c r="S9" i="3" s="1"/>
  <c r="F10" i="1"/>
  <c r="S24" i="3" s="1"/>
  <c r="F11" i="1"/>
  <c r="S46" i="3" s="1"/>
  <c r="F2" i="1"/>
  <c r="S27" i="3" s="1"/>
  <c r="D3" i="1"/>
  <c r="R21" i="3" s="1"/>
  <c r="D4" i="1"/>
  <c r="R36" i="3" s="1"/>
  <c r="D5" i="1"/>
  <c r="R35" i="3" s="1"/>
  <c r="D6" i="1"/>
  <c r="R6" i="3" s="1"/>
  <c r="D7" i="1"/>
  <c r="R31" i="3" s="1"/>
  <c r="D8" i="1"/>
  <c r="R13" i="3" s="1"/>
  <c r="D9" i="1"/>
  <c r="R16" i="3" s="1"/>
  <c r="D10" i="1"/>
  <c r="R11" i="3" s="1"/>
  <c r="D11" i="1"/>
  <c r="R46" i="3" s="1"/>
  <c r="D2" i="1"/>
  <c r="R27" i="3" s="1"/>
  <c r="M7" i="3" l="1"/>
  <c r="M46" i="3"/>
  <c r="K3" i="1"/>
  <c r="K2" i="1"/>
  <c r="M28" i="3"/>
  <c r="K5" i="1"/>
  <c r="M18" i="3"/>
  <c r="K8" i="1"/>
  <c r="M8" i="3"/>
  <c r="K10" i="2"/>
  <c r="M38" i="3"/>
  <c r="M15" i="3"/>
  <c r="M33" i="3"/>
  <c r="K9" i="1"/>
  <c r="K11" i="1"/>
  <c r="M21" i="3"/>
  <c r="M29" i="3"/>
  <c r="M45" i="3"/>
  <c r="K4" i="1"/>
  <c r="M13" i="3"/>
  <c r="M42" i="3"/>
  <c r="M31" i="3"/>
  <c r="M40" i="3"/>
  <c r="M27" i="3"/>
  <c r="K10" i="1"/>
  <c r="K6" i="1"/>
  <c r="K7" i="1"/>
  <c r="L42" i="3"/>
  <c r="L32" i="3"/>
  <c r="M32" i="3" s="1"/>
  <c r="L41" i="3"/>
  <c r="M41" i="3" s="1"/>
  <c r="L31" i="3"/>
  <c r="L21" i="3"/>
  <c r="L11" i="3"/>
  <c r="M11" i="3" s="1"/>
  <c r="K25" i="3"/>
  <c r="M25" i="3" s="1"/>
  <c r="L40" i="3"/>
  <c r="L30" i="3"/>
  <c r="M30" i="3" s="1"/>
  <c r="L20" i="3"/>
  <c r="M20" i="3" s="1"/>
  <c r="L10" i="3"/>
  <c r="M10" i="3" s="1"/>
  <c r="K9" i="2"/>
  <c r="K17" i="3"/>
  <c r="M17" i="3" s="1"/>
  <c r="L39" i="3"/>
  <c r="M39" i="3" s="1"/>
  <c r="L29" i="3"/>
  <c r="L19" i="3"/>
  <c r="M19" i="3" s="1"/>
  <c r="L9" i="3"/>
  <c r="M9" i="3" s="1"/>
  <c r="L15" i="2"/>
  <c r="L37" i="3"/>
  <c r="M37" i="3" s="1"/>
  <c r="L35" i="3"/>
  <c r="M35" i="3" s="1"/>
  <c r="L5" i="3"/>
  <c r="M5" i="3" s="1"/>
  <c r="L44" i="3"/>
  <c r="M44" i="3" s="1"/>
  <c r="L34" i="3"/>
  <c r="M34" i="3" s="1"/>
  <c r="L24" i="3"/>
  <c r="M24" i="3" s="1"/>
  <c r="L14" i="3"/>
  <c r="M14" i="3" s="1"/>
  <c r="L4" i="3"/>
  <c r="M4" i="3" s="1"/>
  <c r="L43" i="3"/>
  <c r="M43" i="3" s="1"/>
  <c r="L33" i="3"/>
  <c r="L23" i="3"/>
  <c r="M23" i="3" s="1"/>
  <c r="L13" i="3"/>
  <c r="L3" i="3"/>
  <c r="M3" i="3" s="1"/>
  <c r="S41" i="3"/>
  <c r="S36" i="3"/>
  <c r="S40" i="3"/>
  <c r="S44" i="3"/>
  <c r="R44" i="3"/>
  <c r="R39" i="3"/>
  <c r="R34" i="3"/>
  <c r="R29" i="3"/>
  <c r="R24" i="3"/>
  <c r="R19" i="3"/>
  <c r="R14" i="3"/>
  <c r="R9" i="3"/>
  <c r="R4" i="3"/>
  <c r="S47" i="3"/>
  <c r="S42" i="3"/>
  <c r="S37" i="3"/>
  <c r="S32" i="3"/>
  <c r="S22" i="3"/>
  <c r="S17" i="3"/>
  <c r="S12" i="3"/>
  <c r="S7" i="3"/>
  <c r="R47" i="3"/>
  <c r="R42" i="3"/>
  <c r="R37" i="3"/>
  <c r="R32" i="3"/>
  <c r="R22" i="3"/>
  <c r="R17" i="3"/>
  <c r="R12" i="3"/>
  <c r="R7" i="3"/>
  <c r="S35" i="3"/>
  <c r="S30" i="3"/>
  <c r="S25" i="3"/>
  <c r="S20" i="3"/>
  <c r="S15" i="3"/>
  <c r="S10" i="3"/>
  <c r="S5" i="3"/>
  <c r="R45" i="3"/>
  <c r="R40" i="3"/>
  <c r="R30" i="3"/>
  <c r="R25" i="3"/>
  <c r="R20" i="3"/>
  <c r="R15" i="3"/>
  <c r="R10" i="3"/>
  <c r="R5" i="3"/>
  <c r="S45" i="3"/>
  <c r="S43" i="3"/>
  <c r="S38" i="3"/>
  <c r="S33" i="3"/>
  <c r="S28" i="3"/>
  <c r="S23" i="3"/>
  <c r="S18" i="3"/>
  <c r="S13" i="3"/>
  <c r="S8" i="3"/>
  <c r="S3" i="3"/>
  <c r="R43" i="3"/>
  <c r="R38" i="3"/>
  <c r="R33" i="3"/>
  <c r="R28" i="3"/>
  <c r="R23" i="3"/>
  <c r="R18" i="3"/>
  <c r="R8" i="3"/>
  <c r="R3" i="3"/>
  <c r="S31" i="3"/>
  <c r="S26" i="3"/>
  <c r="S16" i="3"/>
  <c r="S11" i="3"/>
  <c r="S6" i="3"/>
  <c r="R41" i="3"/>
  <c r="R26" i="3"/>
  <c r="S39" i="3"/>
  <c r="S14" i="3"/>
  <c r="R2" i="3"/>
  <c r="K8" i="2"/>
  <c r="L7" i="2"/>
  <c r="L6" i="2"/>
  <c r="J6" i="1" l="1"/>
  <c r="J4" i="2"/>
  <c r="K4" i="2" s="1"/>
  <c r="J9" i="1"/>
  <c r="J14" i="2"/>
  <c r="J5" i="2"/>
  <c r="J11" i="1"/>
  <c r="J4" i="1"/>
  <c r="J3" i="2"/>
  <c r="J3" i="1"/>
  <c r="J7" i="1"/>
  <c r="J2" i="2"/>
  <c r="J10" i="1"/>
  <c r="J13" i="2"/>
  <c r="J5" i="1"/>
  <c r="J12" i="2"/>
  <c r="J2" i="1"/>
  <c r="J11" i="2"/>
  <c r="J16" i="2"/>
  <c r="J8" i="1"/>
  <c r="L4" i="2" l="1"/>
  <c r="L11" i="2"/>
  <c r="K11" i="2"/>
  <c r="K12" i="2"/>
  <c r="L12" i="2"/>
  <c r="K5" i="2"/>
  <c r="L5" i="2"/>
  <c r="K16" i="2"/>
  <c r="L16" i="2"/>
  <c r="K3" i="2"/>
  <c r="L3" i="2"/>
  <c r="K14" i="2"/>
  <c r="L14" i="2"/>
  <c r="K13" i="2"/>
  <c r="L13" i="2"/>
  <c r="K2" i="2"/>
  <c r="L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4AD65E-8AB6-9042-BC53-680758117A18}" keepAlive="1" name="Requête - villes" description="Connexion à la requête « villes » dans le classeur." type="5" refreshedVersion="8" background="1" saveData="1">
    <dbPr connection="Provider=Microsoft.Mashup.OleDb.1;Data Source=$Workbook$;Location=villes;Extended Properties=&quot;&quot;" command="SELECT * FROM [villes]"/>
  </connection>
  <connection id="2" xr16:uid="{A780146B-AF6E-6B49-B564-FE999DDF1F2D}" keepAlive="1" name="Requête - voitures_disponibles" description="Connexion à la requête « voitures_disponibles » dans le classeur." type="5" refreshedVersion="8" background="1" saveData="1">
    <dbPr connection="Provider=Microsoft.Mashup.OleDb.1;Data Source=$Workbook$;Location=voitures_disponibles;Extended Properties=&quot;&quot;" command="SELECT * FROM [voitures_disponibles]"/>
  </connection>
</connections>
</file>

<file path=xl/sharedStrings.xml><?xml version="1.0" encoding="utf-8"?>
<sst xmlns="http://schemas.openxmlformats.org/spreadsheetml/2006/main" count="717" uniqueCount="442">
  <si>
    <t>Nom</t>
  </si>
  <si>
    <t>Date naissance</t>
  </si>
  <si>
    <t>Date entrée</t>
  </si>
  <si>
    <t>Statut</t>
  </si>
  <si>
    <t>Indemnité</t>
  </si>
  <si>
    <t>Expérience</t>
  </si>
  <si>
    <t>Océane Petitjean-Delaunay</t>
  </si>
  <si>
    <t>junior</t>
  </si>
  <si>
    <t>Valérie Le Gall</t>
  </si>
  <si>
    <t>Agnès-Julie Lopes</t>
  </si>
  <si>
    <t>Gérard Chrétien du Pelletier</t>
  </si>
  <si>
    <t>Philippe Jacquet</t>
  </si>
  <si>
    <t>Robert Grégoire-Masse</t>
  </si>
  <si>
    <t>senior</t>
  </si>
  <si>
    <t>Antoinette Gomez</t>
  </si>
  <si>
    <t>Michèle de la Bonneau</t>
  </si>
  <si>
    <t>Édith Michaud</t>
  </si>
  <si>
    <t>Céline Marques</t>
  </si>
  <si>
    <t>Matr</t>
  </si>
  <si>
    <t>NP</t>
  </si>
  <si>
    <t>Intitulé</t>
  </si>
  <si>
    <t>Domaine</t>
  </si>
  <si>
    <t>Date début</t>
  </si>
  <si>
    <t>Prix heure</t>
  </si>
  <si>
    <t>budget_fonctionnement</t>
  </si>
  <si>
    <t>budget_investissement</t>
  </si>
  <si>
    <t>duree_mois</t>
  </si>
  <si>
    <t>Infra2</t>
  </si>
  <si>
    <t>data science</t>
  </si>
  <si>
    <t>NextGen</t>
  </si>
  <si>
    <t>transformation digitale</t>
  </si>
  <si>
    <t>E30</t>
  </si>
  <si>
    <t>ERP</t>
  </si>
  <si>
    <t>Gamma</t>
  </si>
  <si>
    <t>Onix</t>
  </si>
  <si>
    <t>logistique</t>
  </si>
  <si>
    <t>FP3</t>
  </si>
  <si>
    <t>devel</t>
  </si>
  <si>
    <t>Clean</t>
  </si>
  <si>
    <t>FAST</t>
  </si>
  <si>
    <t>finance</t>
  </si>
  <si>
    <t>Cargo</t>
  </si>
  <si>
    <t>IA</t>
  </si>
  <si>
    <t>CLAIREIndigo</t>
  </si>
  <si>
    <t>Next</t>
  </si>
  <si>
    <t>comptabilité</t>
  </si>
  <si>
    <t>ARGO</t>
  </si>
  <si>
    <t>Optimus</t>
  </si>
  <si>
    <t>Amethyste</t>
  </si>
  <si>
    <t>audit</t>
  </si>
  <si>
    <t>Alpha</t>
  </si>
  <si>
    <t>CRM</t>
  </si>
  <si>
    <t>destination</t>
  </si>
  <si>
    <t>date début</t>
  </si>
  <si>
    <t>date fin</t>
  </si>
  <si>
    <t>mode de transport</t>
  </si>
  <si>
    <t>immatriculation</t>
  </si>
  <si>
    <t>Pessac</t>
  </si>
  <si>
    <t>train</t>
  </si>
  <si>
    <t>Antibes</t>
  </si>
  <si>
    <t>avion</t>
  </si>
  <si>
    <t>Quimper</t>
  </si>
  <si>
    <t>voiture</t>
  </si>
  <si>
    <t>765-JSQ-81</t>
  </si>
  <si>
    <t>Argenteuil</t>
  </si>
  <si>
    <t>575-EXN-41</t>
  </si>
  <si>
    <t>Montreuil</t>
  </si>
  <si>
    <t>Hyères</t>
  </si>
  <si>
    <t>QF-109-TX</t>
  </si>
  <si>
    <t>Clermont-Ferrand</t>
  </si>
  <si>
    <t>Reims</t>
  </si>
  <si>
    <t>TZ-811-YW</t>
  </si>
  <si>
    <t>Charleville-Mézières</t>
  </si>
  <si>
    <t>QQ-716-IN</t>
  </si>
  <si>
    <t>Ivry-sur-Seine</t>
  </si>
  <si>
    <t>Champigny-sur-Marne</t>
  </si>
  <si>
    <t>Perpignan</t>
  </si>
  <si>
    <t>Nice</t>
  </si>
  <si>
    <t>881-PXG-62</t>
  </si>
  <si>
    <t>Lyon</t>
  </si>
  <si>
    <t>588-AHF-83</t>
  </si>
  <si>
    <t>Strasbourg</t>
  </si>
  <si>
    <t>Fontenay-sous-Bois</t>
  </si>
  <si>
    <t>Avignon</t>
  </si>
  <si>
    <t>006-BJC-20</t>
  </si>
  <si>
    <t>Aix-en-Provence</t>
  </si>
  <si>
    <t>Angers</t>
  </si>
  <si>
    <t>Rennes</t>
  </si>
  <si>
    <t>542-YQB-50</t>
  </si>
  <si>
    <t>Beauvais</t>
  </si>
  <si>
    <t>Montauban</t>
  </si>
  <si>
    <t>Nancy</t>
  </si>
  <si>
    <t>Neuilly-sur-Seine</t>
  </si>
  <si>
    <t>La Seyne-sur-Mer</t>
  </si>
  <si>
    <t>Metz</t>
  </si>
  <si>
    <t>Villeneuve-d'Ascq</t>
  </si>
  <si>
    <t>Tours</t>
  </si>
  <si>
    <t>Toulouse</t>
  </si>
  <si>
    <t>Vannes</t>
  </si>
  <si>
    <t>Montpellier</t>
  </si>
  <si>
    <t>Ajaccio</t>
  </si>
  <si>
    <t>Caen</t>
  </si>
  <si>
    <t>Dijon</t>
  </si>
  <si>
    <t>Nanterre</t>
  </si>
  <si>
    <t>Aubervilliers</t>
  </si>
  <si>
    <t>Roubaix</t>
  </si>
  <si>
    <t>Population</t>
  </si>
  <si>
    <t>2025-2026</t>
  </si>
  <si>
    <t>par personne</t>
  </si>
  <si>
    <t xml:space="preserve">kg  </t>
  </si>
  <si>
    <t>Taux émissions CO2</t>
  </si>
  <si>
    <t>Seuil population</t>
  </si>
  <si>
    <t>Nuitée</t>
  </si>
  <si>
    <t>prix billets</t>
  </si>
  <si>
    <t>KM roulé</t>
  </si>
  <si>
    <t>Age</t>
  </si>
  <si>
    <t>Ancienneté</t>
  </si>
  <si>
    <t>Date fin</t>
  </si>
  <si>
    <t>code_postal</t>
  </si>
  <si>
    <t>code_dep_insee</t>
  </si>
  <si>
    <t>nom_commune</t>
  </si>
  <si>
    <t>distance_paris_km</t>
  </si>
  <si>
    <t>75</t>
  </si>
  <si>
    <t>Paris</t>
  </si>
  <si>
    <t>13</t>
  </si>
  <si>
    <t>Marseille</t>
  </si>
  <si>
    <t>69</t>
  </si>
  <si>
    <t>31</t>
  </si>
  <si>
    <t>06</t>
  </si>
  <si>
    <t>44</t>
  </si>
  <si>
    <t>Nantes</t>
  </si>
  <si>
    <t>67</t>
  </si>
  <si>
    <t>34</t>
  </si>
  <si>
    <t>33</t>
  </si>
  <si>
    <t>Bordeaux</t>
  </si>
  <si>
    <t>59</t>
  </si>
  <si>
    <t>Lille</t>
  </si>
  <si>
    <t>35</t>
  </si>
  <si>
    <t>76</t>
  </si>
  <si>
    <t>Le Havre</t>
  </si>
  <si>
    <t>51</t>
  </si>
  <si>
    <t>42</t>
  </si>
  <si>
    <t>Saint-Étienne</t>
  </si>
  <si>
    <t>83</t>
  </si>
  <si>
    <t>Toulon</t>
  </si>
  <si>
    <t>38</t>
  </si>
  <si>
    <t>Grenoble</t>
  </si>
  <si>
    <t>49</t>
  </si>
  <si>
    <t>21</t>
  </si>
  <si>
    <t>29</t>
  </si>
  <si>
    <t>Brest</t>
  </si>
  <si>
    <t>72</t>
  </si>
  <si>
    <t>Le Mans</t>
  </si>
  <si>
    <t>63</t>
  </si>
  <si>
    <t>80</t>
  </si>
  <si>
    <t>Amiens</t>
  </si>
  <si>
    <t>87</t>
  </si>
  <si>
    <t>Limoges</t>
  </si>
  <si>
    <t>30</t>
  </si>
  <si>
    <t>Nîmes</t>
  </si>
  <si>
    <t>37</t>
  </si>
  <si>
    <t>Villeurbanne</t>
  </si>
  <si>
    <t>57</t>
  </si>
  <si>
    <t>25</t>
  </si>
  <si>
    <t>Besançon</t>
  </si>
  <si>
    <t>14</t>
  </si>
  <si>
    <t>45</t>
  </si>
  <si>
    <t>Orléans</t>
  </si>
  <si>
    <t>68</t>
  </si>
  <si>
    <t>Mulhouse</t>
  </si>
  <si>
    <t>Rouen</t>
  </si>
  <si>
    <t>92</t>
  </si>
  <si>
    <t>Boulogne-Billancourt</t>
  </si>
  <si>
    <t>66</t>
  </si>
  <si>
    <t>54</t>
  </si>
  <si>
    <t>95</t>
  </si>
  <si>
    <t>Tourcoing</t>
  </si>
  <si>
    <t>93</t>
  </si>
  <si>
    <t>Saint-Denis</t>
  </si>
  <si>
    <t>84</t>
  </si>
  <si>
    <t>78</t>
  </si>
  <si>
    <t>Versailles</t>
  </si>
  <si>
    <t>86</t>
  </si>
  <si>
    <t>Poitiers</t>
  </si>
  <si>
    <t>94</t>
  </si>
  <si>
    <t>Créteil</t>
  </si>
  <si>
    <t>Aulnay-sous-Bois</t>
  </si>
  <si>
    <t>Vitry-sur-Seine</t>
  </si>
  <si>
    <t>64</t>
  </si>
  <si>
    <t>Pau</t>
  </si>
  <si>
    <t>62</t>
  </si>
  <si>
    <t>Calais</t>
  </si>
  <si>
    <t>17</t>
  </si>
  <si>
    <t>La Rochelle</t>
  </si>
  <si>
    <t>Colombes</t>
  </si>
  <si>
    <t>Asnières-sur-Seine</t>
  </si>
  <si>
    <t>Rueil-Malmaison</t>
  </si>
  <si>
    <t>Saint-Maur-des-Fossés</t>
  </si>
  <si>
    <t>18</t>
  </si>
  <si>
    <t>Bourges</t>
  </si>
  <si>
    <t>Dunkerque</t>
  </si>
  <si>
    <t>Courbevoie</t>
  </si>
  <si>
    <t>Béziers</t>
  </si>
  <si>
    <t>Cannes</t>
  </si>
  <si>
    <t>Saint-Nazaire</t>
  </si>
  <si>
    <t>Colmar</t>
  </si>
  <si>
    <t>26</t>
  </si>
  <si>
    <t>Valence</t>
  </si>
  <si>
    <t>Drancy</t>
  </si>
  <si>
    <t>Mérignac</t>
  </si>
  <si>
    <t>10</t>
  </si>
  <si>
    <t>Troyes</t>
  </si>
  <si>
    <t>Antony</t>
  </si>
  <si>
    <t>56</t>
  </si>
  <si>
    <t>Lorient</t>
  </si>
  <si>
    <t>02</t>
  </si>
  <si>
    <t>Saint-Quentin</t>
  </si>
  <si>
    <t>Noisy-le-Grand</t>
  </si>
  <si>
    <t>Sarcelles</t>
  </si>
  <si>
    <t>79</t>
  </si>
  <si>
    <t>Niort</t>
  </si>
  <si>
    <t>Vénissieux</t>
  </si>
  <si>
    <t>73</t>
  </si>
  <si>
    <t>Chambéry</t>
  </si>
  <si>
    <t>08</t>
  </si>
  <si>
    <t>60</t>
  </si>
  <si>
    <t>Cergy</t>
  </si>
  <si>
    <t>Levallois-Perret</t>
  </si>
  <si>
    <t>Cholet</t>
  </si>
  <si>
    <t>2A</t>
  </si>
  <si>
    <t>Issy-les-Moulineaux</t>
  </si>
  <si>
    <t>82</t>
  </si>
  <si>
    <t>27</t>
  </si>
  <si>
    <t>Évreux</t>
  </si>
  <si>
    <t>Maisons-Alfort</t>
  </si>
  <si>
    <t>53</t>
  </si>
  <si>
    <t>Laval</t>
  </si>
  <si>
    <t>Saint-Malo</t>
  </si>
  <si>
    <t>Arles</t>
  </si>
  <si>
    <t>90</t>
  </si>
  <si>
    <t>Belfort</t>
  </si>
  <si>
    <t>KM Parcourus</t>
  </si>
  <si>
    <t>Montant nuitées</t>
  </si>
  <si>
    <t>75001</t>
  </si>
  <si>
    <t>13001</t>
  </si>
  <si>
    <t>69002</t>
  </si>
  <si>
    <t>31300</t>
  </si>
  <si>
    <t>6200</t>
  </si>
  <si>
    <t>44000</t>
  </si>
  <si>
    <t>67100</t>
  </si>
  <si>
    <t>34000</t>
  </si>
  <si>
    <t>33000</t>
  </si>
  <si>
    <t>59160</t>
  </si>
  <si>
    <t>35000</t>
  </si>
  <si>
    <t>76600</t>
  </si>
  <si>
    <t>51100</t>
  </si>
  <si>
    <t>42000</t>
  </si>
  <si>
    <t>83100</t>
  </si>
  <si>
    <t>38100</t>
  </si>
  <si>
    <t>49100</t>
  </si>
  <si>
    <t>21000</t>
  </si>
  <si>
    <t>29200</t>
  </si>
  <si>
    <t>72000</t>
  </si>
  <si>
    <t>63000</t>
  </si>
  <si>
    <t>80080</t>
  </si>
  <si>
    <t>13290</t>
  </si>
  <si>
    <t>87000</t>
  </si>
  <si>
    <t>30900</t>
  </si>
  <si>
    <t>37000</t>
  </si>
  <si>
    <t>69100</t>
  </si>
  <si>
    <t>57050</t>
  </si>
  <si>
    <t>25000</t>
  </si>
  <si>
    <t>14000</t>
  </si>
  <si>
    <t>45100</t>
  </si>
  <si>
    <t>68100</t>
  </si>
  <si>
    <t>76000</t>
  </si>
  <si>
    <t>92100</t>
  </si>
  <si>
    <t>66100</t>
  </si>
  <si>
    <t>54100</t>
  </si>
  <si>
    <t>59100</t>
  </si>
  <si>
    <t>95100</t>
  </si>
  <si>
    <t>59200</t>
  </si>
  <si>
    <t>93100</t>
  </si>
  <si>
    <t>93200</t>
  </si>
  <si>
    <t>84000</t>
  </si>
  <si>
    <t>78000</t>
  </si>
  <si>
    <t>92000</t>
  </si>
  <si>
    <t>86000</t>
  </si>
  <si>
    <t>94000</t>
  </si>
  <si>
    <t>93600</t>
  </si>
  <si>
    <t>94400</t>
  </si>
  <si>
    <t>64000</t>
  </si>
  <si>
    <t>62100</t>
  </si>
  <si>
    <t>17000</t>
  </si>
  <si>
    <t>92700</t>
  </si>
  <si>
    <t>92600</t>
  </si>
  <si>
    <t>94500</t>
  </si>
  <si>
    <t>92500</t>
  </si>
  <si>
    <t>94100</t>
  </si>
  <si>
    <t>6160</t>
  </si>
  <si>
    <t>18000</t>
  </si>
  <si>
    <t>59430</t>
  </si>
  <si>
    <t>92400</t>
  </si>
  <si>
    <t>34500</t>
  </si>
  <si>
    <t>6400</t>
  </si>
  <si>
    <t>44600</t>
  </si>
  <si>
    <t>68000</t>
  </si>
  <si>
    <t>59493</t>
  </si>
  <si>
    <t>26000</t>
  </si>
  <si>
    <t>29000</t>
  </si>
  <si>
    <t>93300</t>
  </si>
  <si>
    <t>93700</t>
  </si>
  <si>
    <t>33700</t>
  </si>
  <si>
    <t>10000</t>
  </si>
  <si>
    <t>83500</t>
  </si>
  <si>
    <t>92200</t>
  </si>
  <si>
    <t>92160</t>
  </si>
  <si>
    <t>56100</t>
  </si>
  <si>
    <t>2100</t>
  </si>
  <si>
    <t>93160</t>
  </si>
  <si>
    <t>95200</t>
  </si>
  <si>
    <t>79000</t>
  </si>
  <si>
    <t>33600</t>
  </si>
  <si>
    <t>69200</t>
  </si>
  <si>
    <t>73000</t>
  </si>
  <si>
    <t>8000</t>
  </si>
  <si>
    <t>60000</t>
  </si>
  <si>
    <t>95800</t>
  </si>
  <si>
    <t>92300</t>
  </si>
  <si>
    <t>49300</t>
  </si>
  <si>
    <t>20167</t>
  </si>
  <si>
    <t>92130</t>
  </si>
  <si>
    <t>82000</t>
  </si>
  <si>
    <t>56000</t>
  </si>
  <si>
    <t>83400</t>
  </si>
  <si>
    <t>27000</t>
  </si>
  <si>
    <t>94700</t>
  </si>
  <si>
    <t>53000</t>
  </si>
  <si>
    <t>94200</t>
  </si>
  <si>
    <t>94120</t>
  </si>
  <si>
    <t>35400</t>
  </si>
  <si>
    <t>13200</t>
  </si>
  <si>
    <t>90000</t>
  </si>
  <si>
    <t>Durée</t>
  </si>
  <si>
    <t>Montant indemnités</t>
  </si>
  <si>
    <t>Coût déplacement</t>
  </si>
  <si>
    <t>montant déplacements</t>
  </si>
  <si>
    <t>Budget mis à jour</t>
  </si>
  <si>
    <t>Consommé</t>
  </si>
  <si>
    <t>Make</t>
  </si>
  <si>
    <t>Model</t>
  </si>
  <si>
    <t>Vehicle Class</t>
  </si>
  <si>
    <t>Engine Size(L)</t>
  </si>
  <si>
    <t>Cylinders</t>
  </si>
  <si>
    <t>Transmission</t>
  </si>
  <si>
    <t>Fuel Consumption City (L/100 km)</t>
  </si>
  <si>
    <t>Fuel Consumption Hwy (L/100 km)</t>
  </si>
  <si>
    <t>Fuel Consumption Comb (L/100 km)</t>
  </si>
  <si>
    <t>Fuel Consumption Comb (mpg)</t>
  </si>
  <si>
    <t>CO2 Emissions(g/km)</t>
  </si>
  <si>
    <t>HYUNDAI</t>
  </si>
  <si>
    <t>TUCSON</t>
  </si>
  <si>
    <t>SUV - SMALL</t>
  </si>
  <si>
    <t>A6</t>
  </si>
  <si>
    <t>MINI</t>
  </si>
  <si>
    <t>COOPER CLUBMAN</t>
  </si>
  <si>
    <t>SUBCOMPACT</t>
  </si>
  <si>
    <t>TOYOTA</t>
  </si>
  <si>
    <t>PRIUS</t>
  </si>
  <si>
    <t>MID-SIZE</t>
  </si>
  <si>
    <t>AV</t>
  </si>
  <si>
    <t>YARIS</t>
  </si>
  <si>
    <t>COMPACT</t>
  </si>
  <si>
    <t>M5</t>
  </si>
  <si>
    <t>VOLKSWAGEN</t>
  </si>
  <si>
    <t>BEETLE TDI (modified)</t>
  </si>
  <si>
    <t>TOUAREG</t>
  </si>
  <si>
    <t>SUV - STANDARD</t>
  </si>
  <si>
    <t>AS8</t>
  </si>
  <si>
    <t>AUDI</t>
  </si>
  <si>
    <t>A6 QUATTRO</t>
  </si>
  <si>
    <t>Q5 HYBRID</t>
  </si>
  <si>
    <t>417-IHX-79</t>
  </si>
  <si>
    <t>IONIQ</t>
  </si>
  <si>
    <t>FULL-SIZE</t>
  </si>
  <si>
    <t>AM6</t>
  </si>
  <si>
    <t>Yaris</t>
  </si>
  <si>
    <t>AS6</t>
  </si>
  <si>
    <t xml:space="preserve">Taux emission CO2 moyen </t>
  </si>
  <si>
    <t>Avion</t>
  </si>
  <si>
    <t>g/Km</t>
  </si>
  <si>
    <t>Train</t>
  </si>
  <si>
    <t>kg CO2 consommé</t>
  </si>
  <si>
    <t>total émissions CO2</t>
  </si>
  <si>
    <t>Projet</t>
  </si>
  <si>
    <t>Employé</t>
  </si>
  <si>
    <t>Total général</t>
  </si>
  <si>
    <t>Total Nbr missions</t>
  </si>
  <si>
    <t>Nbr missions</t>
  </si>
  <si>
    <t>Total Moy KM</t>
  </si>
  <si>
    <t>Moy KM</t>
  </si>
  <si>
    <t>modes transport</t>
  </si>
  <si>
    <t>Consultants</t>
  </si>
  <si>
    <t>Somme de kg CO2 consommé</t>
  </si>
  <si>
    <t>Total Somme de kg CO2 consommé</t>
  </si>
  <si>
    <t xml:space="preserve">Total % Nbr Mission </t>
  </si>
  <si>
    <t xml:space="preserve">% Nbr Mission </t>
  </si>
  <si>
    <t>Total % Somme CO2</t>
  </si>
  <si>
    <t>% Somme CO2</t>
  </si>
  <si>
    <t>Modes de transport</t>
  </si>
  <si>
    <t>Consultant</t>
  </si>
  <si>
    <t>5-25</t>
  </si>
  <si>
    <t>125-145</t>
  </si>
  <si>
    <t>245-265</t>
  </si>
  <si>
    <t>385-405</t>
  </si>
  <si>
    <t>525-545</t>
  </si>
  <si>
    <t>565-585</t>
  </si>
  <si>
    <t>685-705</t>
  </si>
  <si>
    <t>Tranche de KM</t>
  </si>
  <si>
    <t>Nombre de missions</t>
  </si>
  <si>
    <t>Somme de Coût déplacement</t>
  </si>
  <si>
    <t>Moy Coût dépl</t>
  </si>
  <si>
    <t>Mode de transport</t>
  </si>
  <si>
    <t xml:space="preserve">Tranche KM </t>
  </si>
  <si>
    <t>Total Somme de Coût déplacement</t>
  </si>
  <si>
    <t>Modes transport</t>
  </si>
  <si>
    <t>Domaine projet</t>
  </si>
  <si>
    <t>(Tous)</t>
  </si>
  <si>
    <t>25-29</t>
  </si>
  <si>
    <t>30-34</t>
  </si>
  <si>
    <t>35-39</t>
  </si>
  <si>
    <t>40-44</t>
  </si>
  <si>
    <t>Moy Ancienneté</t>
  </si>
  <si>
    <t>Somme CO2 consommé</t>
  </si>
  <si>
    <t>Moy Coût déplacement</t>
  </si>
  <si>
    <t>Tranche d'âge</t>
  </si>
  <si>
    <t>25-45</t>
  </si>
  <si>
    <t>405-425</t>
  </si>
  <si>
    <t>605-625</t>
  </si>
  <si>
    <t>785-805</t>
  </si>
  <si>
    <t>965-985</t>
  </si>
  <si>
    <t>&gt;1005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</si>
</sst>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14" fontId="0" fillId="0" borderId="0" xfId="0" applyNumberFormat="1"/>
    <xf numFmtId="44" fontId="0" fillId="0" borderId="0" xfId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2" fillId="4" borderId="1" xfId="0" applyFont="1" applyFill="1" applyBorder="1" applyAlignment="1">
      <alignment horizontal="center"/>
    </xf>
    <xf numFmtId="44" fontId="0" fillId="4" borderId="1" xfId="1" applyFont="1" applyFill="1" applyBorder="1"/>
    <xf numFmtId="44" fontId="0" fillId="3" borderId="0" xfId="1" applyFont="1" applyFill="1"/>
    <xf numFmtId="0" fontId="0" fillId="0" borderId="0" xfId="0" applyAlignment="1">
      <alignment horizontal="center"/>
    </xf>
    <xf numFmtId="2" fontId="0" fillId="0" borderId="0" xfId="0" applyNumberFormat="1"/>
    <xf numFmtId="1" fontId="0" fillId="0" borderId="0" xfId="0" applyNumberFormat="1"/>
    <xf numFmtId="44" fontId="2" fillId="0" borderId="0" xfId="1" applyFont="1"/>
    <xf numFmtId="44" fontId="2" fillId="0" borderId="0" xfId="1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/>
    <xf numFmtId="1" fontId="0" fillId="4" borderId="1" xfId="0" applyNumberFormat="1" applyFill="1" applyBorder="1"/>
    <xf numFmtId="2" fontId="2" fillId="0" borderId="0" xfId="0" applyNumberFormat="1" applyFont="1" applyAlignment="1">
      <alignment horizontal="center"/>
    </xf>
    <xf numFmtId="2" fontId="0" fillId="0" borderId="0" xfId="1" applyNumberFormat="1" applyFont="1"/>
    <xf numFmtId="44" fontId="0" fillId="0" borderId="0" xfId="0" applyNumberFormat="1"/>
    <xf numFmtId="9" fontId="0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/>
    </xf>
    <xf numFmtId="0" fontId="0" fillId="0" borderId="0" xfId="0" applyAlignment="1">
      <alignment horizontal="center" vertical="center" wrapText="1"/>
    </xf>
    <xf numFmtId="1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NumberFormat="1"/>
  </cellXfs>
  <cellStyles count="3">
    <cellStyle name="Monétaire" xfId="1" builtinId="4"/>
    <cellStyle name="Normal" xfId="0" builtinId="0"/>
    <cellStyle name="Pourcentage" xfId="2" builtinId="5"/>
  </cellStyles>
  <dxfs count="26">
    <dxf>
      <numFmt numFmtId="19" formatCode="dd/mm/yyyy"/>
    </dxf>
    <dxf>
      <numFmt numFmtId="19" formatCode="dd/mm/yyyy"/>
    </dxf>
    <dxf>
      <numFmt numFmtId="2" formatCode="0.00"/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0.000"/>
    </dxf>
    <dxf>
      <numFmt numFmtId="34" formatCode="_ * #,##0.00_)\ &quot;€&quot;_ ;_ * \(#,##0.00\)\ &quot;€&quot;_ ;_ * &quot;-&quot;??_)\ &quot;€&quot;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1" formatCode="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948.777727546294" createdVersion="8" refreshedVersion="8" minRefreshableVersion="3" recordCount="46" xr:uid="{FEB6CFF1-55FE-6F4B-8E99-18AD8A565AA5}">
  <cacheSource type="worksheet">
    <worksheetSource name="TabDepl"/>
  </cacheSource>
  <cacheFields count="20">
    <cacheField name="Matr" numFmtId="0">
      <sharedItems containsSemiMixedTypes="0" containsString="0" containsNumber="1" containsInteger="1" minValue="2901" maxValue="9958"/>
    </cacheField>
    <cacheField name="NP" numFmtId="0">
      <sharedItems containsSemiMixedTypes="0" containsString="0" containsNumber="1" containsInteger="1" minValue="1019" maxValue="9474"/>
    </cacheField>
    <cacheField name="destination" numFmtId="0">
      <sharedItems/>
    </cacheField>
    <cacheField name="date début" numFmtId="14">
      <sharedItems containsSemiMixedTypes="0" containsNonDate="0" containsDate="1" containsString="0" minDate="2025-09-29T00:00:00" maxDate="2026-08-30T00:00:00"/>
    </cacheField>
    <cacheField name="date fin" numFmtId="14">
      <sharedItems containsSemiMixedTypes="0" containsNonDate="0" containsDate="1" containsString="0" minDate="2025-10-07T00:00:00" maxDate="2026-09-08T00:00:00"/>
    </cacheField>
    <cacheField name="mode de transport" numFmtId="0">
      <sharedItems count="3">
        <s v="train"/>
        <s v="avion"/>
        <s v="voiture"/>
      </sharedItems>
    </cacheField>
    <cacheField name="immatriculation" numFmtId="0">
      <sharedItems containsBlank="1"/>
    </cacheField>
    <cacheField name="prix billets" numFmtId="44">
      <sharedItems containsString="0" containsBlank="1" containsNumber="1" minValue="5" maxValue="663"/>
    </cacheField>
    <cacheField name="Durée" numFmtId="1">
      <sharedItems containsSemiMixedTypes="0" containsString="0" containsNumber="1" containsInteger="1" minValue="2" maxValue="9"/>
    </cacheField>
    <cacheField name="KM Parcourus" numFmtId="2">
      <sharedItems containsSemiMixedTypes="0" containsString="0" containsNumber="1" minValue="11.430453806573089" maxValue="1832.8525093398346" count="37">
        <n v="1014.985612721831"/>
        <n v="1383.9078713499114"/>
        <n v="970.26035500521243"/>
        <n v="24.135524480783484"/>
        <n v="16.416834937395087"/>
        <n v="1412.5042990148568"/>
        <n v="694.23863342015648"/>
        <n v="263.6576541995081"/>
        <n v="401.30764654622021"/>
        <n v="13.41425144304659"/>
        <n v="28.398104953178237"/>
        <n v="1373.4564493751479"/>
        <n v="1371.1717374786563"/>
        <n v="787.95589187721032"/>
        <n v="801.77005840342895"/>
        <n v="20.365399926691858"/>
        <n v="1161.0252128104009"/>
        <n v="1274.7395363740186"/>
        <n v="529.19819952002911"/>
        <n v="616.97040295737861"/>
        <n v="132.76893959226709"/>
        <n v="1086.407564975822"/>
        <n v="565.65078678258772"/>
        <n v="11.430453806573089"/>
        <n v="1395.3168911564405"/>
        <n v="567.5087752446691"/>
        <n v="410.92880972718422"/>
        <n v="406.90584632466727"/>
        <n v="1179.012942276431"/>
        <n v="802.07383910513863"/>
        <n v="1190.5827092173017"/>
        <n v="1832.8525093398346"/>
        <n v="402.24192193177629"/>
        <n v="528.37078515457438"/>
        <n v="20.412162969195503"/>
        <n v="13.088746396149698"/>
        <n v="423.94716370353035"/>
      </sharedItems>
      <fieldGroup base="9">
        <rangePr autoStart="0" autoEnd="0" startNum="5" endNum="1000" groupInterval="20"/>
        <groupItems count="52">
          <s v="&lt;5"/>
          <s v="5-25"/>
          <s v="25-45"/>
          <s v="45-65"/>
          <s v="65-85"/>
          <s v="85-105"/>
          <s v="105-125"/>
          <s v="125-145"/>
          <s v="145-165"/>
          <s v="165-185"/>
          <s v="185-205"/>
          <s v="205-225"/>
          <s v="225-245"/>
          <s v="245-265"/>
          <s v="265-285"/>
          <s v="285-305"/>
          <s v="305-325"/>
          <s v="325-345"/>
          <s v="345-365"/>
          <s v="365-385"/>
          <s v="385-405"/>
          <s v="405-425"/>
          <s v="425-445"/>
          <s v="445-465"/>
          <s v="465-485"/>
          <s v="485-505"/>
          <s v="505-525"/>
          <s v="525-545"/>
          <s v="545-565"/>
          <s v="565-585"/>
          <s v="585-605"/>
          <s v="605-625"/>
          <s v="625-645"/>
          <s v="645-665"/>
          <s v="665-685"/>
          <s v="685-705"/>
          <s v="705-725"/>
          <s v="725-745"/>
          <s v="745-765"/>
          <s v="765-785"/>
          <s v="785-805"/>
          <s v="805-825"/>
          <s v="825-845"/>
          <s v="845-865"/>
          <s v="865-885"/>
          <s v="885-905"/>
          <s v="905-925"/>
          <s v="925-945"/>
          <s v="945-965"/>
          <s v="965-985"/>
          <s v="985-1005"/>
          <s v="&gt;1005"/>
        </groupItems>
      </fieldGroup>
    </cacheField>
    <cacheField name="Montant nuitées" numFmtId="44">
      <sharedItems containsSemiMixedTypes="0" containsString="0" containsNumber="1" containsInteger="1" minValue="100" maxValue="1050"/>
    </cacheField>
    <cacheField name="Montant indemnités" numFmtId="44">
      <sharedItems containsSemiMixedTypes="0" containsString="0" containsNumber="1" minValue="115.64" maxValue="981.44999999999993"/>
    </cacheField>
    <cacheField name="Coût déplacement" numFmtId="44">
      <sharedItems containsSemiMixedTypes="0" containsString="0" containsNumber="1" minValue="243.57494002533153" maxValue="3854.2905405876481"/>
    </cacheField>
    <cacheField name="kg CO2 consommé" numFmtId="164">
      <sharedItems containsSemiMixedTypes="0" containsString="0" containsNumber="1" minValue="2.2860907613146179E-2" maxValue="287.19706508154286"/>
    </cacheField>
    <cacheField name="Projet" numFmtId="0">
      <sharedItems/>
    </cacheField>
    <cacheField name="Domaine" numFmtId="0">
      <sharedItems count="7">
        <s v="ERP"/>
        <s v="finance"/>
        <s v="CRM"/>
        <s v="data science"/>
        <s v="comptabilité"/>
        <s v="logistique"/>
        <s v="transformation digitale"/>
      </sharedItems>
    </cacheField>
    <cacheField name="Employé" numFmtId="0">
      <sharedItems count="10">
        <s v="Philippe Jacquet"/>
        <s v="Michèle de la Bonneau"/>
        <s v="Antoinette Gomez"/>
        <s v="Céline Marques"/>
        <s v="Gérard Chrétien du Pelletier"/>
        <s v="Valérie Le Gall"/>
        <s v="Édith Michaud"/>
        <s v="Agnès-Julie Lopes"/>
        <s v="Robert Grégoire-Masse"/>
        <s v="Océane Petitjean-Delaunay"/>
      </sharedItems>
    </cacheField>
    <cacheField name="Age" numFmtId="0">
      <sharedItems containsSemiMixedTypes="0" containsString="0" containsNumber="1" containsInteger="1" minValue="25" maxValue="41" count="7">
        <n v="26"/>
        <n v="41"/>
        <n v="36"/>
        <n v="28"/>
        <n v="25"/>
        <n v="29"/>
        <n v="32"/>
      </sharedItems>
      <fieldGroup base="17">
        <rangePr autoEnd="0" startNum="25" endNum="60" groupInterval="5"/>
        <groupItems count="9">
          <s v="&lt;25"/>
          <s v="25-29"/>
          <s v="30-34"/>
          <s v="35-39"/>
          <s v="40-44"/>
          <s v="45-49"/>
          <s v="50-54"/>
          <s v="55-60"/>
          <s v="&gt;60"/>
        </groupItems>
      </fieldGroup>
    </cacheField>
    <cacheField name="Ancienneté" numFmtId="0">
      <sharedItems containsSemiMixedTypes="0" containsString="0" containsNumber="1" containsInteger="1" minValue="0" maxValue="5"/>
    </cacheField>
    <cacheField name="Statut" numFmtId="0">
      <sharedItems count="2">
        <s v="junior"/>
        <s v="senior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">
  <r>
    <n v="4029"/>
    <n v="9247"/>
    <s v="Pessac"/>
    <d v="2025-09-29T00:00:00"/>
    <d v="2025-10-07T00:00:00"/>
    <x v="0"/>
    <m/>
    <n v="261.2"/>
    <n v="8"/>
    <x v="0"/>
    <n v="400"/>
    <n v="462.56"/>
    <n v="1123.76"/>
    <n v="2.0299712254436622"/>
    <s v="E30"/>
    <x v="0"/>
    <x v="0"/>
    <x v="0"/>
    <n v="3"/>
    <x v="0"/>
  </r>
  <r>
    <n v="3751"/>
    <n v="2042"/>
    <s v="Antibes"/>
    <d v="2025-10-02T00:00:00"/>
    <d v="2025-10-11T00:00:00"/>
    <x v="1"/>
    <m/>
    <n v="286"/>
    <n v="9"/>
    <x v="1"/>
    <n v="450"/>
    <n v="981.44999999999993"/>
    <n v="1717.4499999999998"/>
    <n v="138.39078713499114"/>
    <s v="Optimus"/>
    <x v="1"/>
    <x v="1"/>
    <x v="1"/>
    <n v="2"/>
    <x v="1"/>
  </r>
  <r>
    <n v="2901"/>
    <n v="7236"/>
    <s v="Quimper"/>
    <d v="2025-10-08T00:00:00"/>
    <d v="2025-10-12T00:00:00"/>
    <x v="2"/>
    <s v="765-JSQ-81"/>
    <m/>
    <n v="4"/>
    <x v="2"/>
    <n v="200"/>
    <n v="560.12"/>
    <n v="2458.0756212591218"/>
    <n v="287.19706508154286"/>
    <s v="Alpha"/>
    <x v="2"/>
    <x v="2"/>
    <x v="2"/>
    <n v="5"/>
    <x v="1"/>
  </r>
  <r>
    <n v="9393"/>
    <n v="1934"/>
    <s v="Argenteuil"/>
    <d v="2025-10-11T00:00:00"/>
    <d v="2025-10-15T00:00:00"/>
    <x v="2"/>
    <s v="575-EXN-41"/>
    <m/>
    <n v="4"/>
    <x v="3"/>
    <n v="300"/>
    <n v="268.32"/>
    <n v="610.55716784137098"/>
    <n v="4.8271048961566976"/>
    <s v="Gamma"/>
    <x v="3"/>
    <x v="3"/>
    <x v="3"/>
    <n v="1"/>
    <x v="0"/>
  </r>
  <r>
    <n v="4029"/>
    <n v="9247"/>
    <s v="Montreuil"/>
    <d v="2025-11-06T00:00:00"/>
    <d v="2025-11-08T00:00:00"/>
    <x v="0"/>
    <m/>
    <n v="5"/>
    <n v="2"/>
    <x v="4"/>
    <n v="150"/>
    <n v="115.64"/>
    <n v="270.64"/>
    <n v="3.2833669874790174E-2"/>
    <s v="E30"/>
    <x v="0"/>
    <x v="0"/>
    <x v="0"/>
    <n v="3"/>
    <x v="0"/>
  </r>
  <r>
    <n v="9790"/>
    <n v="9425"/>
    <s v="Hyères"/>
    <d v="2025-11-23T00:00:00"/>
    <d v="2025-12-02T00:00:00"/>
    <x v="2"/>
    <s v="QF-109-TX"/>
    <m/>
    <n v="9"/>
    <x v="5"/>
    <n v="450"/>
    <n v="681.30000000000007"/>
    <n v="3603.1825232759993"/>
    <n v="218.9381663473028"/>
    <s v="Next"/>
    <x v="4"/>
    <x v="4"/>
    <x v="0"/>
    <n v="0"/>
    <x v="0"/>
  </r>
  <r>
    <n v="9958"/>
    <n v="8519"/>
    <s v="Clermont-Ferrand"/>
    <d v="2025-11-26T00:00:00"/>
    <d v="2025-11-29T00:00:00"/>
    <x v="0"/>
    <m/>
    <n v="209.2"/>
    <n v="3"/>
    <x v="6"/>
    <n v="225"/>
    <n v="167.60999999999999"/>
    <n v="601.80999999999995"/>
    <n v="1.3884772668403129"/>
    <s v="Infra2"/>
    <x v="3"/>
    <x v="5"/>
    <x v="4"/>
    <n v="2"/>
    <x v="0"/>
  </r>
  <r>
    <n v="3751"/>
    <n v="2042"/>
    <s v="Reims"/>
    <d v="2025-12-03T00:00:00"/>
    <d v="2025-12-05T00:00:00"/>
    <x v="2"/>
    <s v="TZ-811-YW"/>
    <m/>
    <n v="2"/>
    <x v="7"/>
    <n v="200"/>
    <n v="218.1"/>
    <n v="879.50089484913917"/>
    <n v="56.422737998694735"/>
    <s v="Optimus"/>
    <x v="1"/>
    <x v="1"/>
    <x v="1"/>
    <n v="2"/>
    <x v="1"/>
  </r>
  <r>
    <n v="2901"/>
    <n v="7236"/>
    <s v="Charleville-Mézières"/>
    <d v="2026-01-04T00:00:00"/>
    <d v="2026-01-09T00:00:00"/>
    <x v="2"/>
    <s v="QQ-716-IN"/>
    <m/>
    <n v="5"/>
    <x v="8"/>
    <n v="250"/>
    <n v="700.15"/>
    <n v="1652.4383814558855"/>
    <n v="65.413146387033891"/>
    <s v="Alpha"/>
    <x v="2"/>
    <x v="2"/>
    <x v="2"/>
    <n v="5"/>
    <x v="1"/>
  </r>
  <r>
    <n v="6763"/>
    <n v="1019"/>
    <s v="Ivry-sur-Seine"/>
    <d v="2026-01-09T00:00:00"/>
    <d v="2026-01-11T00:00:00"/>
    <x v="2"/>
    <s v="765-JSQ-81"/>
    <m/>
    <n v="2"/>
    <x v="9"/>
    <n v="100"/>
    <n v="120.1"/>
    <n v="243.57494002533153"/>
    <n v="3.9706184271417904"/>
    <s v="ARGO"/>
    <x v="5"/>
    <x v="6"/>
    <x v="5"/>
    <n v="3"/>
    <x v="0"/>
  </r>
  <r>
    <n v="7152"/>
    <n v="9474"/>
    <s v="Champigny-sur-Marne"/>
    <d v="2026-01-13T00:00:00"/>
    <d v="2026-01-16T00:00:00"/>
    <x v="0"/>
    <m/>
    <n v="5"/>
    <n v="3"/>
    <x v="10"/>
    <n v="150"/>
    <n v="199.20000000000002"/>
    <n v="354.20000000000005"/>
    <n v="5.6796209906356476E-2"/>
    <s v="NextGen"/>
    <x v="6"/>
    <x v="7"/>
    <x v="5"/>
    <n v="1"/>
    <x v="0"/>
  </r>
  <r>
    <n v="2901"/>
    <n v="7236"/>
    <s v="Perpignan"/>
    <d v="2026-01-27T00:00:00"/>
    <d v="2026-01-29T00:00:00"/>
    <x v="0"/>
    <m/>
    <n v="172.2"/>
    <n v="2"/>
    <x v="11"/>
    <n v="150"/>
    <n v="280.06"/>
    <n v="602.26"/>
    <n v="2.746912898750296"/>
    <s v="Alpha"/>
    <x v="2"/>
    <x v="2"/>
    <x v="2"/>
    <n v="5"/>
    <x v="1"/>
  </r>
  <r>
    <n v="4029"/>
    <n v="9247"/>
    <s v="Nice"/>
    <d v="2026-01-31T00:00:00"/>
    <d v="2026-02-07T00:00:00"/>
    <x v="2"/>
    <s v="881-PXG-62"/>
    <m/>
    <n v="7"/>
    <x v="12"/>
    <n v="1050"/>
    <n v="404.74"/>
    <n v="3854.2905405876481"/>
    <n v="245.43974100867945"/>
    <s v="E30"/>
    <x v="0"/>
    <x v="0"/>
    <x v="0"/>
    <n v="3"/>
    <x v="0"/>
  </r>
  <r>
    <n v="3751"/>
    <n v="2042"/>
    <s v="Lyon"/>
    <d v="2026-02-22T00:00:00"/>
    <d v="2026-02-26T00:00:00"/>
    <x v="2"/>
    <s v="588-AHF-83"/>
    <m/>
    <n v="4"/>
    <x v="13"/>
    <n v="800"/>
    <n v="436.2"/>
    <n v="2615.1228107851184"/>
    <n v="86.67514810649314"/>
    <s v="Optimus"/>
    <x v="1"/>
    <x v="1"/>
    <x v="1"/>
    <n v="2"/>
    <x v="1"/>
  </r>
  <r>
    <n v="3751"/>
    <n v="2042"/>
    <s v="Antibes"/>
    <d v="2026-02-27T00:00:00"/>
    <d v="2026-03-06T00:00:00"/>
    <x v="1"/>
    <m/>
    <n v="257"/>
    <n v="7"/>
    <x v="1"/>
    <n v="350"/>
    <n v="763.35"/>
    <n v="1370.35"/>
    <n v="138.39078713499114"/>
    <s v="Optimus"/>
    <x v="1"/>
    <x v="1"/>
    <x v="1"/>
    <n v="2"/>
    <x v="1"/>
  </r>
  <r>
    <n v="6763"/>
    <n v="1019"/>
    <s v="Strasbourg"/>
    <d v="2026-03-07T00:00:00"/>
    <d v="2026-03-11T00:00:00"/>
    <x v="2"/>
    <s v="588-AHF-83"/>
    <m/>
    <n v="4"/>
    <x v="14"/>
    <n v="400"/>
    <n v="240.2"/>
    <n v="2043.2976022060006"/>
    <n v="88.194706424377188"/>
    <s v="ARGO"/>
    <x v="5"/>
    <x v="6"/>
    <x v="5"/>
    <n v="3"/>
    <x v="0"/>
  </r>
  <r>
    <n v="4029"/>
    <n v="9247"/>
    <s v="Fontenay-sous-Bois"/>
    <d v="2026-03-16T00:00:00"/>
    <d v="2026-03-23T00:00:00"/>
    <x v="0"/>
    <m/>
    <n v="5"/>
    <n v="7"/>
    <x v="15"/>
    <n v="350"/>
    <n v="404.74"/>
    <n v="759.74"/>
    <n v="4.0730799853383716E-2"/>
    <s v="E30"/>
    <x v="0"/>
    <x v="0"/>
    <x v="0"/>
    <n v="3"/>
    <x v="0"/>
  </r>
  <r>
    <n v="9564"/>
    <n v="8519"/>
    <s v="Avignon"/>
    <d v="2026-03-18T00:00:00"/>
    <d v="2026-03-20T00:00:00"/>
    <x v="0"/>
    <m/>
    <n v="124"/>
    <n v="2"/>
    <x v="16"/>
    <n v="150"/>
    <n v="280.58"/>
    <n v="554.57999999999993"/>
    <n v="2.3220504256208021"/>
    <s v="Infra2"/>
    <x v="3"/>
    <x v="8"/>
    <x v="1"/>
    <n v="2"/>
    <x v="1"/>
  </r>
  <r>
    <n v="2901"/>
    <n v="7236"/>
    <s v="Fontenay-sous-Bois"/>
    <d v="2026-04-07T00:00:00"/>
    <d v="2026-04-14T00:00:00"/>
    <x v="2"/>
    <s v="006-BJC-20"/>
    <m/>
    <n v="7"/>
    <x v="15"/>
    <n v="350"/>
    <n v="980.21"/>
    <n v="1365.8494498717107"/>
    <n v="2.097636192449261"/>
    <s v="Alpha"/>
    <x v="2"/>
    <x v="2"/>
    <x v="2"/>
    <n v="5"/>
    <x v="1"/>
  </r>
  <r>
    <n v="9958"/>
    <n v="8519"/>
    <s v="Aix-en-Provence"/>
    <d v="2026-04-09T00:00:00"/>
    <d v="2026-04-15T00:00:00"/>
    <x v="0"/>
    <m/>
    <n v="108"/>
    <n v="6"/>
    <x v="17"/>
    <n v="450"/>
    <n v="335.21999999999997"/>
    <n v="893.22"/>
    <n v="2.5494790727480372"/>
    <s v="Infra2"/>
    <x v="3"/>
    <x v="5"/>
    <x v="4"/>
    <n v="2"/>
    <x v="0"/>
  </r>
  <r>
    <n v="4029"/>
    <n v="9247"/>
    <s v="Angers"/>
    <d v="2026-04-15T00:00:00"/>
    <d v="2026-04-19T00:00:00"/>
    <x v="0"/>
    <m/>
    <n v="47"/>
    <n v="4"/>
    <x v="18"/>
    <n v="400"/>
    <n v="231.28"/>
    <n v="678.28"/>
    <n v="1.0583963990400582"/>
    <s v="E30"/>
    <x v="0"/>
    <x v="0"/>
    <x v="0"/>
    <n v="3"/>
    <x v="0"/>
  </r>
  <r>
    <n v="7152"/>
    <n v="9474"/>
    <s v="Pessac"/>
    <d v="2026-05-09T00:00:00"/>
    <d v="2026-05-18T00:00:00"/>
    <x v="1"/>
    <m/>
    <n v="244"/>
    <n v="9"/>
    <x v="0"/>
    <n v="450"/>
    <n v="597.6"/>
    <n v="1291.5999999999999"/>
    <n v="101.49856127218311"/>
    <s v="NextGen"/>
    <x v="6"/>
    <x v="7"/>
    <x v="5"/>
    <n v="1"/>
    <x v="0"/>
  </r>
  <r>
    <n v="6763"/>
    <n v="1019"/>
    <s v="Rennes"/>
    <d v="2026-05-27T00:00:00"/>
    <d v="2026-05-29T00:00:00"/>
    <x v="2"/>
    <s v="588-AHF-83"/>
    <m/>
    <n v="2"/>
    <x v="19"/>
    <n v="200"/>
    <n v="120.1"/>
    <n v="1399.7982051754125"/>
    <n v="67.866744325311643"/>
    <s v="ARGO"/>
    <x v="5"/>
    <x v="6"/>
    <x v="5"/>
    <n v="3"/>
    <x v="0"/>
  </r>
  <r>
    <n v="9393"/>
    <n v="1934"/>
    <s v="Pessac"/>
    <d v="2026-06-10T00:00:00"/>
    <d v="2026-06-14T00:00:00"/>
    <x v="2"/>
    <s v="542-YQB-50"/>
    <m/>
    <n v="4"/>
    <x v="0"/>
    <n v="200"/>
    <n v="268.32"/>
    <n v="2244.5448222632044"/>
    <n v="240.55159021507393"/>
    <s v="Gamma"/>
    <x v="3"/>
    <x v="3"/>
    <x v="3"/>
    <n v="1"/>
    <x v="0"/>
  </r>
  <r>
    <n v="9958"/>
    <n v="8519"/>
    <s v="Beauvais"/>
    <d v="2026-07-08T00:00:00"/>
    <d v="2026-07-11T00:00:00"/>
    <x v="2"/>
    <s v="588-AHF-83"/>
    <m/>
    <n v="3"/>
    <x v="20"/>
    <n v="150"/>
    <n v="167.60999999999999"/>
    <n v="549.95564428646742"/>
    <n v="14.60458335514938"/>
    <s v="Infra2"/>
    <x v="3"/>
    <x v="5"/>
    <x v="4"/>
    <n v="2"/>
    <x v="0"/>
  </r>
  <r>
    <n v="7178"/>
    <n v="1171"/>
    <s v="Montauban"/>
    <d v="2026-07-11T00:00:00"/>
    <d v="2026-07-15T00:00:00"/>
    <x v="2"/>
    <s v="QF-109-TX"/>
    <m/>
    <n v="4"/>
    <x v="21"/>
    <n v="200"/>
    <n v="372.24"/>
    <n v="2473.4532387076888"/>
    <n v="168.39317257125239"/>
    <s v="CLAIREIndigo"/>
    <x v="1"/>
    <x v="9"/>
    <x v="6"/>
    <n v="4"/>
    <x v="0"/>
  </r>
  <r>
    <n v="9958"/>
    <n v="8519"/>
    <s v="Montreuil"/>
    <d v="2026-07-13T00:00:00"/>
    <d v="2026-07-16T00:00:00"/>
    <x v="0"/>
    <m/>
    <n v="5"/>
    <n v="3"/>
    <x v="4"/>
    <n v="225"/>
    <n v="167.60999999999999"/>
    <n v="397.61"/>
    <n v="3.2833669874790174E-2"/>
    <s v="Infra2"/>
    <x v="3"/>
    <x v="5"/>
    <x v="4"/>
    <n v="2"/>
    <x v="0"/>
  </r>
  <r>
    <n v="9790"/>
    <n v="9425"/>
    <s v="Nancy"/>
    <d v="2026-07-19T00:00:00"/>
    <d v="2026-07-24T00:00:00"/>
    <x v="1"/>
    <m/>
    <n v="359"/>
    <n v="5"/>
    <x v="22"/>
    <n v="375"/>
    <n v="378.5"/>
    <n v="1112.5"/>
    <n v="56.565078678258772"/>
    <s v="Next"/>
    <x v="4"/>
    <x v="4"/>
    <x v="0"/>
    <n v="0"/>
    <x v="0"/>
  </r>
  <r>
    <n v="4029"/>
    <n v="9247"/>
    <s v="Neuilly-sur-Seine"/>
    <d v="2026-07-24T00:00:00"/>
    <d v="2026-07-31T00:00:00"/>
    <x v="0"/>
    <m/>
    <n v="5"/>
    <n v="7"/>
    <x v="23"/>
    <n v="350"/>
    <n v="404.74"/>
    <n v="759.74"/>
    <n v="2.2860907613146179E-2"/>
    <s v="E30"/>
    <x v="0"/>
    <x v="0"/>
    <x v="0"/>
    <n v="3"/>
    <x v="0"/>
  </r>
  <r>
    <n v="9564"/>
    <n v="8519"/>
    <s v="La Seyne-sur-Mer"/>
    <d v="2026-07-24T00:00:00"/>
    <d v="2026-07-30T00:00:00"/>
    <x v="2"/>
    <s v="588-AHF-83"/>
    <m/>
    <n v="6"/>
    <x v="24"/>
    <n v="300"/>
    <n v="841.74"/>
    <n v="3583.5445595237707"/>
    <n v="153.48485802720845"/>
    <s v="Infra2"/>
    <x v="3"/>
    <x v="8"/>
    <x v="1"/>
    <n v="2"/>
    <x v="1"/>
  </r>
  <r>
    <n v="9393"/>
    <n v="1934"/>
    <s v="Ivry-sur-Seine"/>
    <d v="2026-07-27T00:00:00"/>
    <d v="2026-08-01T00:00:00"/>
    <x v="2"/>
    <s v="765-JSQ-81"/>
    <m/>
    <n v="5"/>
    <x v="9"/>
    <n v="250"/>
    <n v="335.4"/>
    <n v="608.87494002533151"/>
    <n v="3.9706184271417904"/>
    <s v="Gamma"/>
    <x v="3"/>
    <x v="3"/>
    <x v="3"/>
    <n v="1"/>
    <x v="0"/>
  </r>
  <r>
    <n v="9393"/>
    <n v="1934"/>
    <s v="Metz"/>
    <d v="2026-08-07T00:00:00"/>
    <d v="2026-08-15T00:00:00"/>
    <x v="1"/>
    <m/>
    <n v="299"/>
    <n v="8"/>
    <x v="25"/>
    <n v="600"/>
    <n v="536.64"/>
    <n v="1435.6399999999999"/>
    <n v="56.750877524466915"/>
    <s v="Gamma"/>
    <x v="3"/>
    <x v="3"/>
    <x v="3"/>
    <n v="1"/>
    <x v="0"/>
  </r>
  <r>
    <n v="7152"/>
    <n v="9474"/>
    <s v="Champigny-sur-Marne"/>
    <d v="2026-08-11T00:00:00"/>
    <d v="2026-08-14T00:00:00"/>
    <x v="0"/>
    <m/>
    <n v="5"/>
    <n v="3"/>
    <x v="10"/>
    <n v="150"/>
    <n v="199.20000000000002"/>
    <n v="354.20000000000005"/>
    <n v="5.6796209906356476E-2"/>
    <s v="NextGen"/>
    <x v="6"/>
    <x v="7"/>
    <x v="5"/>
    <n v="1"/>
    <x v="0"/>
  </r>
  <r>
    <n v="9790"/>
    <n v="9425"/>
    <s v="Villeneuve-d'Ascq"/>
    <d v="2026-08-15T00:00:00"/>
    <d v="2026-08-20T00:00:00"/>
    <x v="1"/>
    <m/>
    <n v="663"/>
    <n v="5"/>
    <x v="26"/>
    <n v="250"/>
    <n v="378.5"/>
    <n v="1291.5"/>
    <n v="41.092880972718426"/>
    <s v="Next"/>
    <x v="4"/>
    <x v="4"/>
    <x v="0"/>
    <n v="0"/>
    <x v="0"/>
  </r>
  <r>
    <n v="7152"/>
    <n v="9474"/>
    <s v="Tours"/>
    <d v="2026-08-16T00:00:00"/>
    <d v="2026-08-20T00:00:00"/>
    <x v="2"/>
    <s v="QF-109-TX"/>
    <m/>
    <n v="4"/>
    <x v="27"/>
    <n v="300"/>
    <n v="265.60000000000002"/>
    <n v="1277.6852310681677"/>
    <n v="63.070406180323424"/>
    <s v="NextGen"/>
    <x v="6"/>
    <x v="7"/>
    <x v="5"/>
    <n v="1"/>
    <x v="0"/>
  </r>
  <r>
    <n v="9393"/>
    <n v="1934"/>
    <s v="Toulouse"/>
    <d v="2026-08-20T00:00:00"/>
    <d v="2026-08-22T00:00:00"/>
    <x v="0"/>
    <m/>
    <n v="276"/>
    <n v="2"/>
    <x v="28"/>
    <n v="300"/>
    <n v="134.16"/>
    <n v="710.16"/>
    <n v="2.3580258845528621"/>
    <s v="Gamma"/>
    <x v="3"/>
    <x v="3"/>
    <x v="3"/>
    <n v="1"/>
    <x v="0"/>
  </r>
  <r>
    <n v="9564"/>
    <n v="8519"/>
    <s v="Vannes"/>
    <d v="2026-08-24T00:00:00"/>
    <d v="2026-08-28T00:00:00"/>
    <x v="2"/>
    <s v="542-YQB-50"/>
    <m/>
    <n v="4"/>
    <x v="29"/>
    <n v="200"/>
    <n v="561.16"/>
    <n v="2164.7892184339926"/>
    <n v="190.09149986791783"/>
    <s v="Infra2"/>
    <x v="3"/>
    <x v="8"/>
    <x v="1"/>
    <n v="2"/>
    <x v="1"/>
  </r>
  <r>
    <n v="9790"/>
    <n v="9425"/>
    <s v="Montpellier"/>
    <d v="2026-08-24T00:00:00"/>
    <d v="2026-08-29T00:00:00"/>
    <x v="2"/>
    <s v="QQ-716-IN"/>
    <m/>
    <n v="5"/>
    <x v="30"/>
    <n v="500"/>
    <n v="378.5"/>
    <n v="2962.0197411302779"/>
    <n v="194.06498160242018"/>
    <s v="Next"/>
    <x v="4"/>
    <x v="4"/>
    <x v="0"/>
    <n v="0"/>
    <x v="0"/>
  </r>
  <r>
    <n v="7152"/>
    <n v="9474"/>
    <s v="Ajaccio"/>
    <d v="2026-08-25T00:00:00"/>
    <d v="2026-08-29T00:00:00"/>
    <x v="1"/>
    <m/>
    <n v="579"/>
    <n v="4"/>
    <x v="31"/>
    <n v="200"/>
    <n v="265.60000000000002"/>
    <n v="1044.5999999999999"/>
    <n v="183.28525093398346"/>
    <s v="NextGen"/>
    <x v="6"/>
    <x v="7"/>
    <x v="5"/>
    <n v="1"/>
    <x v="0"/>
  </r>
  <r>
    <n v="9958"/>
    <n v="8519"/>
    <s v="Caen"/>
    <d v="2026-08-26T00:00:00"/>
    <d v="2026-09-02T00:00:00"/>
    <x v="0"/>
    <m/>
    <n v="135.5"/>
    <n v="7"/>
    <x v="32"/>
    <n v="525"/>
    <n v="391.09"/>
    <n v="1051.5899999999999"/>
    <n v="0.80448384386355265"/>
    <s v="Infra2"/>
    <x v="3"/>
    <x v="5"/>
    <x v="4"/>
    <n v="2"/>
    <x v="0"/>
  </r>
  <r>
    <n v="7178"/>
    <n v="1171"/>
    <s v="Dijon"/>
    <d v="2026-08-27T00:00:00"/>
    <d v="2026-09-03T00:00:00"/>
    <x v="2"/>
    <s v="588-AHF-83"/>
    <m/>
    <n v="7"/>
    <x v="33"/>
    <n v="700"/>
    <n v="651.42000000000007"/>
    <n v="2276.0688740205051"/>
    <n v="58.120786367003184"/>
    <s v="CLAIREIndigo"/>
    <x v="1"/>
    <x v="9"/>
    <x v="6"/>
    <n v="4"/>
    <x v="0"/>
  </r>
  <r>
    <n v="4029"/>
    <n v="9247"/>
    <s v="Nanterre"/>
    <d v="2026-08-27T00:00:00"/>
    <d v="2026-08-29T00:00:00"/>
    <x v="0"/>
    <m/>
    <n v="5"/>
    <n v="2"/>
    <x v="34"/>
    <n v="150"/>
    <n v="115.64"/>
    <n v="270.64"/>
    <n v="4.0824325938391005E-2"/>
    <s v="E30"/>
    <x v="0"/>
    <x v="0"/>
    <x v="0"/>
    <n v="3"/>
    <x v="0"/>
  </r>
  <r>
    <n v="3751"/>
    <n v="2042"/>
    <s v="Aubervilliers"/>
    <d v="2026-08-28T00:00:00"/>
    <d v="2026-09-04T00:00:00"/>
    <x v="2"/>
    <s v="542-YQB-50"/>
    <m/>
    <n v="7"/>
    <x v="35"/>
    <n v="350"/>
    <n v="763.35"/>
    <n v="1136.255306193262"/>
    <n v="3.1020328958874783"/>
    <s v="Optimus"/>
    <x v="1"/>
    <x v="1"/>
    <x v="1"/>
    <n v="2"/>
    <x v="1"/>
  </r>
  <r>
    <n v="9564"/>
    <n v="8519"/>
    <s v="Roubaix"/>
    <d v="2026-08-29T00:00:00"/>
    <d v="2026-09-03T00:00:00"/>
    <x v="2"/>
    <s v="575-EXN-41"/>
    <m/>
    <n v="5"/>
    <x v="36"/>
    <n v="375"/>
    <n v="701.44999999999993"/>
    <n v="1818.3575364811779"/>
    <n v="84.789432740706076"/>
    <s v="Infra2"/>
    <x v="3"/>
    <x v="8"/>
    <x v="1"/>
    <n v="2"/>
    <x v="1"/>
  </r>
  <r>
    <n v="9393"/>
    <n v="1934"/>
    <s v="Roubaix"/>
    <d v="2026-08-29T00:00:00"/>
    <d v="2026-09-02T00:00:00"/>
    <x v="2"/>
    <s v="QQ-716-IN"/>
    <m/>
    <n v="4"/>
    <x v="36"/>
    <n v="300"/>
    <n v="268.32"/>
    <n v="1310.227536481178"/>
    <n v="69.10338768367545"/>
    <s v="Gamma"/>
    <x v="3"/>
    <x v="3"/>
    <x v="3"/>
    <n v="1"/>
    <x v="0"/>
  </r>
  <r>
    <n v="9790"/>
    <n v="9425"/>
    <s v="Argenteuil"/>
    <d v="2026-08-29T00:00:00"/>
    <d v="2026-09-07T00:00:00"/>
    <x v="0"/>
    <m/>
    <n v="5"/>
    <n v="9"/>
    <x v="3"/>
    <n v="675"/>
    <n v="681.30000000000007"/>
    <n v="1361.3000000000002"/>
    <n v="4.8271048961566969E-2"/>
    <s v="Next"/>
    <x v="4"/>
    <x v="4"/>
    <x v="0"/>
    <n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3CF20D-7D92-4C44-A2DB-BD159DCD4803}" name="Tableau croisé dynamique2" cacheId="109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Consultant" colHeaderCaption="Modes de transport">
  <location ref="A25:I38" firstHeaderRow="1" firstDataRow="3" firstDataCol="1"/>
  <pivotFields count="20">
    <pivotField showAll="0"/>
    <pivotField showAll="0"/>
    <pivotField dataField="1" showAll="0"/>
    <pivotField numFmtId="14" showAll="0"/>
    <pivotField numFmtId="14" showAll="0"/>
    <pivotField axis="axisCol" showAll="0">
      <items count="4">
        <item x="1"/>
        <item x="0"/>
        <item x="2"/>
        <item t="default"/>
      </items>
    </pivotField>
    <pivotField showAll="0"/>
    <pivotField showAll="0"/>
    <pivotField numFmtId="1" showAll="0"/>
    <pivotField numFmtId="2" showAll="0"/>
    <pivotField numFmtId="44" showAll="0"/>
    <pivotField numFmtId="44" showAll="0"/>
    <pivotField numFmtId="44" showAll="0"/>
    <pivotField dataField="1" numFmtId="164" showAll="0"/>
    <pivotField showAll="0"/>
    <pivotField showAll="0"/>
    <pivotField axis="axisRow" showAll="0">
      <items count="11">
        <item x="7"/>
        <item x="2"/>
        <item x="3"/>
        <item x="6"/>
        <item x="4"/>
        <item x="1"/>
        <item x="9"/>
        <item x="0"/>
        <item x="8"/>
        <item x="5"/>
        <item t="default"/>
      </items>
    </pivotField>
    <pivotField showAll="0"/>
    <pivotField showAll="0"/>
    <pivotField showAll="0"/>
  </pivotFields>
  <rowFields count="1">
    <field x="16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5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 t="grand">
      <x/>
    </i>
    <i t="grand" i="1">
      <x/>
    </i>
  </colItems>
  <dataFields count="2">
    <dataField name="% Nbr Mission " fld="2" subtotal="count" showDataAs="percentOfTotal" baseField="0" baseItem="0" numFmtId="10"/>
    <dataField name="% Somme CO2" fld="13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9EA390-4644-BF47-A9C7-6849AF2E6812}" name="Tableau croisé dynamique1" cacheId="109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Consultants" colHeaderCaption="modes transport">
  <location ref="A3:I16" firstHeaderRow="1" firstDataRow="3" firstDataCol="1"/>
  <pivotFields count="20">
    <pivotField showAll="0"/>
    <pivotField showAll="0"/>
    <pivotField dataField="1" showAll="0"/>
    <pivotField numFmtId="14" showAll="0"/>
    <pivotField numFmtId="14" showAll="0"/>
    <pivotField axis="axisCol" showAll="0">
      <items count="4">
        <item x="1"/>
        <item x="0"/>
        <item x="2"/>
        <item t="default"/>
      </items>
    </pivotField>
    <pivotField showAll="0"/>
    <pivotField showAll="0"/>
    <pivotField numFmtId="1" showAll="0"/>
    <pivotField dataField="1" numFmtId="2" showAll="0"/>
    <pivotField numFmtId="44" showAll="0"/>
    <pivotField numFmtId="44" showAll="0"/>
    <pivotField numFmtId="44" showAll="0"/>
    <pivotField numFmtId="164" showAll="0"/>
    <pivotField showAll="0"/>
    <pivotField showAll="0"/>
    <pivotField axis="axisRow" showAll="0">
      <items count="11">
        <item x="7"/>
        <item x="2"/>
        <item x="3"/>
        <item x="6"/>
        <item x="4"/>
        <item x="1"/>
        <item x="9"/>
        <item x="0"/>
        <item x="8"/>
        <item x="5"/>
        <item t="default"/>
      </items>
    </pivotField>
    <pivotField showAll="0"/>
    <pivotField showAll="0"/>
    <pivotField showAll="0"/>
  </pivotFields>
  <rowFields count="1">
    <field x="16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5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 t="grand">
      <x/>
    </i>
    <i t="grand" i="1">
      <x/>
    </i>
  </colItems>
  <dataFields count="2">
    <dataField name="Nbr missions" fld="2" subtotal="count" baseField="0" baseItem="0"/>
    <dataField name="Moy KM" fld="9" subtotal="average" baseField="0" baseItem="0" numFmtId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BA6443-6015-134A-80B7-D5A92BDD593D}" name="Tableau croisé dynamique4" cacheId="109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Tranche KM " colHeaderCaption="Mode de transport">
  <location ref="I3:M18" firstHeaderRow="1" firstDataRow="2" firstDataCol="1"/>
  <pivotFields count="20">
    <pivotField showAll="0"/>
    <pivotField showAll="0"/>
    <pivotField showAll="0"/>
    <pivotField numFmtId="14" showAll="0"/>
    <pivotField numFmtId="14" showAll="0"/>
    <pivotField axis="axisCol" showAll="0">
      <items count="4">
        <item x="1"/>
        <item x="0"/>
        <item x="2"/>
        <item t="default"/>
      </items>
    </pivotField>
    <pivotField showAll="0"/>
    <pivotField showAll="0"/>
    <pivotField numFmtId="1" showAll="0"/>
    <pivotField axis="axisRow" numFmtId="2" showAl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umFmtId="44" showAll="0"/>
    <pivotField numFmtId="44" showAll="0"/>
    <pivotField dataField="1" numFmtId="44" showAll="0"/>
    <pivotField numFmtId="164"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14">
    <i>
      <x v="1"/>
    </i>
    <i>
      <x v="2"/>
    </i>
    <i>
      <x v="7"/>
    </i>
    <i>
      <x v="13"/>
    </i>
    <i>
      <x v="20"/>
    </i>
    <i>
      <x v="21"/>
    </i>
    <i>
      <x v="27"/>
    </i>
    <i>
      <x v="29"/>
    </i>
    <i>
      <x v="31"/>
    </i>
    <i>
      <x v="35"/>
    </i>
    <i>
      <x v="40"/>
    </i>
    <i>
      <x v="49"/>
    </i>
    <i>
      <x v="51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Moy Coût dépl" fld="12" subtotal="average" baseField="0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B3D968-8D37-F743-96E2-A36916DA90FF}" name="Tableau croisé dynamique3" cacheId="109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Tranche de KM" colHeaderCaption="Modes de transport">
  <location ref="A3:E18" firstHeaderRow="1" firstDataRow="2" firstDataCol="1"/>
  <pivotFields count="20">
    <pivotField dataField="1" showAll="0"/>
    <pivotField showAll="0"/>
    <pivotField showAll="0"/>
    <pivotField numFmtId="14" showAll="0"/>
    <pivotField numFmtId="14" showAll="0"/>
    <pivotField axis="axisCol" showAll="0">
      <items count="4">
        <item x="1"/>
        <item x="0"/>
        <item x="2"/>
        <item t="default"/>
      </items>
    </pivotField>
    <pivotField showAll="0"/>
    <pivotField showAll="0"/>
    <pivotField numFmtId="1" showAll="0"/>
    <pivotField axis="axisRow" numFmtId="2" showAl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umFmtId="44" showAll="0"/>
    <pivotField numFmtId="44" showAll="0"/>
    <pivotField numFmtId="44" showAll="0"/>
    <pivotField numFmtId="164"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14">
    <i>
      <x v="1"/>
    </i>
    <i>
      <x v="2"/>
    </i>
    <i>
      <x v="7"/>
    </i>
    <i>
      <x v="13"/>
    </i>
    <i>
      <x v="20"/>
    </i>
    <i>
      <x v="21"/>
    </i>
    <i>
      <x v="27"/>
    </i>
    <i>
      <x v="29"/>
    </i>
    <i>
      <x v="31"/>
    </i>
    <i>
      <x v="35"/>
    </i>
    <i>
      <x v="40"/>
    </i>
    <i>
      <x v="49"/>
    </i>
    <i>
      <x v="51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Nombre de missions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F5E633-C28D-764D-AAAD-C54CD2AF6629}" name="Tableau croisé dynamique5" cacheId="109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Domaine projet" colHeaderCaption="Modes transport">
  <location ref="A5:I15" firstHeaderRow="1" firstDataRow="3" firstDataCol="1" rowPageCount="2" colPageCount="1"/>
  <pivotFields count="20">
    <pivotField showAll="0"/>
    <pivotField showAll="0"/>
    <pivotField showAll="0"/>
    <pivotField numFmtId="14" showAll="0"/>
    <pivotField numFmtId="14" showAll="0"/>
    <pivotField axis="axisCol" showAll="0">
      <items count="4">
        <item x="1"/>
        <item x="0"/>
        <item x="2"/>
        <item t="default"/>
      </items>
    </pivotField>
    <pivotField showAll="0"/>
    <pivotField showAll="0"/>
    <pivotField numFmtId="1" showAll="0"/>
    <pivotField numFmtId="2" showAll="0"/>
    <pivotField numFmtId="44" showAll="0"/>
    <pivotField numFmtId="44" showAll="0"/>
    <pivotField dataField="1" numFmtId="44" showAll="0"/>
    <pivotField dataField="1" numFmtId="164" showAll="0"/>
    <pivotField showAll="0"/>
    <pivotField axis="axisRow" showAll="0">
      <items count="8">
        <item x="4"/>
        <item x="2"/>
        <item x="3"/>
        <item x="0"/>
        <item x="1"/>
        <item x="5"/>
        <item x="6"/>
        <item t="default"/>
      </items>
    </pivotField>
    <pivotField axis="axisPage" showAll="0">
      <items count="11">
        <item x="7"/>
        <item x="2"/>
        <item x="3"/>
        <item x="6"/>
        <item x="4"/>
        <item x="1"/>
        <item x="9"/>
        <item x="0"/>
        <item x="8"/>
        <item x="5"/>
        <item t="default"/>
      </items>
    </pivotField>
    <pivotField showAll="0"/>
    <pivotField showAll="0"/>
    <pivotField axis="axisPage" showAll="0">
      <items count="3">
        <item x="0"/>
        <item x="1"/>
        <item t="default"/>
      </items>
    </pivotField>
  </pivotFields>
  <rowFields count="1">
    <field x="1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2">
    <field x="5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 t="grand">
      <x/>
    </i>
    <i t="grand" i="1">
      <x/>
    </i>
  </colItems>
  <pageFields count="2">
    <pageField fld="16" hier="-1"/>
    <pageField fld="19" hier="-1"/>
  </pageFields>
  <dataFields count="2">
    <dataField name="Somme de kg CO2 consommé" fld="13" baseField="0" baseItem="0" numFmtId="2"/>
    <dataField name="Somme de Coût déplacement" fld="12" baseField="0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15013A-C882-4744-85AC-C5F5E18BB4CB}" name="Tableau croisé dynamique6" cacheId="109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Tranche d'âge">
  <location ref="A5:E10" firstHeaderRow="0" firstDataRow="1" firstDataCol="1" rowPageCount="2" colPageCount="1"/>
  <pivotFields count="20">
    <pivotField showAll="0"/>
    <pivotField showAll="0"/>
    <pivotField dataField="1" showAll="0"/>
    <pivotField numFmtId="14" showAll="0"/>
    <pivotField numFmtId="14" showAll="0"/>
    <pivotField axis="axisPage" showAll="0">
      <items count="4">
        <item x="1"/>
        <item x="0"/>
        <item x="2"/>
        <item t="default"/>
      </items>
    </pivotField>
    <pivotField showAll="0"/>
    <pivotField showAll="0"/>
    <pivotField numFmtId="1" showAll="0"/>
    <pivotField numFmtId="2" showAll="0"/>
    <pivotField numFmtId="44" showAll="0"/>
    <pivotField numFmtId="44" showAll="0"/>
    <pivotField dataField="1" numFmtId="44" showAll="0"/>
    <pivotField dataField="1" numFmtId="164" showAll="0"/>
    <pivotField showAll="0"/>
    <pivotField axis="axisPage" showAll="0">
      <items count="8">
        <item x="4"/>
        <item x="2"/>
        <item x="3"/>
        <item x="0"/>
        <item x="1"/>
        <item x="5"/>
        <item x="6"/>
        <item t="default"/>
      </items>
    </pivotField>
    <pivotField showAll="0"/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/>
    <pivotField showAll="0"/>
  </pivotFields>
  <rowFields count="1">
    <field x="17"/>
  </rowFields>
  <rowItems count="5">
    <i>
      <x v="1"/>
    </i>
    <i>
      <x v="2"/>
    </i>
    <i>
      <x v="3"/>
    </i>
    <i>
      <x v="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15" hier="-1"/>
    <pageField fld="5" hier="-1"/>
  </pageFields>
  <dataFields count="4">
    <dataField name="Moy Ancienneté" fld="18" subtotal="average" baseField="0" baseItem="0" numFmtId="2"/>
    <dataField name="Moy Coût déplacement" fld="12" subtotal="average" baseField="0" baseItem="0" numFmtId="44"/>
    <dataField name="Somme CO2 consommé" fld="13" showDataAs="percentOfTotal" baseField="0" baseItem="0" numFmtId="10"/>
    <dataField name="Nbr missions" fld="2" subtotal="count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2" connectionId="2" xr16:uid="{290739DA-6117-4B4B-9E81-D4DD33D6D0F6}" autoFormatId="16" applyNumberFormats="0" applyBorderFormats="0" applyFontFormats="0" applyPatternFormats="0" applyAlignmentFormats="0" applyWidthHeightFormats="0">
  <queryTableRefresh nextId="13">
    <queryTableFields count="12">
      <queryTableField id="1" name="Make" tableColumnId="1"/>
      <queryTableField id="2" name="Model" tableColumnId="2"/>
      <queryTableField id="3" name="Vehicle Class" tableColumnId="3"/>
      <queryTableField id="4" name="Engine Size(L)" tableColumnId="4"/>
      <queryTableField id="5" name="Cylinders" tableColumnId="5"/>
      <queryTableField id="6" name="Transmission" tableColumnId="6"/>
      <queryTableField id="7" name="Fuel Consumption City (L/100 km)" tableColumnId="7"/>
      <queryTableField id="8" name="Fuel Consumption Hwy (L/100 km)" tableColumnId="8"/>
      <queryTableField id="9" name="Fuel Consumption Comb (L/100 km)" tableColumnId="9"/>
      <queryTableField id="10" name="Fuel Consumption Comb (mpg)" tableColumnId="10"/>
      <queryTableField id="11" name="CO2 Emissions(g/km)" tableColumnId="11"/>
      <queryTableField id="12" name="immatriculation" tableColumnId="1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DB6F4ABF-3D7A-B749-A1C3-52CC1E77CD94}" autoFormatId="16" applyNumberFormats="0" applyBorderFormats="0" applyFontFormats="0" applyPatternFormats="0" applyAlignmentFormats="0" applyWidthHeightFormats="0">
  <queryTableRefresh nextId="6">
    <queryTableFields count="5">
      <queryTableField id="1" name="code_postal" tableColumnId="1"/>
      <queryTableField id="2" name="code_dep_insee" tableColumnId="2"/>
      <queryTableField id="3" name="nom_commune" tableColumnId="3"/>
      <queryTableField id="4" name="Population" tableColumnId="4"/>
      <queryTableField id="5" name="distance_paris_km" tableColumnId="5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060D9B-6A8A-A044-8247-003309C3D5A9}" name="TabDepl" displayName="TabDepl" ref="A1:T47" totalsRowShown="0" headerRowDxfId="25">
  <autoFilter ref="A1:T47" xr:uid="{D9060D9B-6A8A-A044-8247-003309C3D5A9}"/>
  <tableColumns count="20">
    <tableColumn id="1" xr3:uid="{03CF596D-577B-684A-A620-25248F0EB4B3}" name="Matr" dataDxfId="24"/>
    <tableColumn id="2" xr3:uid="{FDA3A518-907C-6C45-B14D-93FF1A5C9A19}" name="NP" dataDxfId="23"/>
    <tableColumn id="3" xr3:uid="{D40AC6B6-336E-BB41-8907-BF111FD2EA36}" name="destination"/>
    <tableColumn id="4" xr3:uid="{E289CEBC-4572-1E44-8831-FC2B02845905}" name="date début" dataDxfId="22"/>
    <tableColumn id="5" xr3:uid="{4E05833F-7915-A144-94A5-490F3E403DD3}" name="date fin" dataDxfId="21"/>
    <tableColumn id="6" xr3:uid="{A268FCB9-6DBE-3344-991F-2733C0126435}" name="mode de transport"/>
    <tableColumn id="7" xr3:uid="{1F92A5E8-7FCC-E945-B9C0-051AF96EB555}" name="immatriculation"/>
    <tableColumn id="8" xr3:uid="{EF93620D-5660-D545-8ED5-5A9C35DD91AD}" name="prix billets" dataDxfId="20" dataCellStyle="Monétaire"/>
    <tableColumn id="9" xr3:uid="{29D21549-A6E7-4349-886D-67A80D14ABB2}" name="Durée" dataDxfId="19">
      <calculatedColumnFormula>$E2-$D2</calculatedColumnFormula>
    </tableColumn>
    <tableColumn id="10" xr3:uid="{6B4ED218-B4E2-1C45-9AC3-4FE38F8C9ADA}" name="KM Parcourus" dataDxfId="2">
      <calculatedColumnFormula>_xlfn.XLOOKUP($C2,villes[nom_commune],villes[distance_paris_km],,0)*2</calculatedColumnFormula>
    </tableColumn>
    <tableColumn id="11" xr3:uid="{FE2B0D42-40BC-8146-A8D5-0613917A4BC7}" name="Montant nuitées" dataDxfId="18" dataCellStyle="Monétaire">
      <calculatedColumnFormula>_xlfn.XLOOKUP(_xlfn.XLOOKUP($C2,villes[nom_commune],villes[Population],0,0),Seuil_population,Nuitées,0,1)*I2</calculatedColumnFormula>
    </tableColumn>
    <tableColumn id="12" xr3:uid="{5C60F329-C041-0D44-8095-06C78C5D11E1}" name="Montant indemnités" dataDxfId="17" dataCellStyle="Monétaire">
      <calculatedColumnFormula>VLOOKUP(A2,Employes,8,FALSE)*I2</calculatedColumnFormula>
    </tableColumn>
    <tableColumn id="13" xr3:uid="{11636500-0FAD-0043-9691-267BD9BEBF9E}" name="Coût déplacement" dataDxfId="16">
      <calculatedColumnFormula>K2+L2+IF(F2="voiture",J2*PrixKM,H2)</calculatedColumnFormula>
    </tableColumn>
    <tableColumn id="14" xr3:uid="{2CAA018C-111B-9541-8181-836829E33E35}" name="kg CO2 consommé" dataDxfId="15">
      <calculatedColumnFormula>IF(F2&lt;&gt;"voiture",_xlfn.XLOOKUP(F2,ModesTransp,EmissionCO2Moy,,0),_xlfn.XLOOKUP(G2,voitures_disponibles!$L:$L,voitures_disponibles!$K:$K,,0))/1000*J2</calculatedColumnFormula>
    </tableColumn>
    <tableColumn id="15" xr3:uid="{D88054E6-52D4-2544-8BBE-583CB32CCFBE}" name="Projet">
      <calculatedColumnFormula>VLOOKUP($B2,Projets,2,FALSE)</calculatedColumnFormula>
    </tableColumn>
    <tableColumn id="16" xr3:uid="{EECC6C32-6DC1-F94C-AE96-EC8FE9B4F0DF}" name="Domaine">
      <calculatedColumnFormula>VLOOKUP($B2,Projets,3,FALSE)</calculatedColumnFormula>
    </tableColumn>
    <tableColumn id="17" xr3:uid="{6DE652DB-8405-5440-B709-193B951DDCC9}" name="Employé">
      <calculatedColumnFormula>_xlfn.XLOOKUP($A2,Matr_Employes,Employés!B:B,,0)</calculatedColumnFormula>
    </tableColumn>
    <tableColumn id="18" xr3:uid="{14588EB7-9A15-C24B-86CE-9DA2946D93B3}" name="Age">
      <calculatedColumnFormula>_xlfn.XLOOKUP($A2,Matr_Employes,Employés!D:D,,0)</calculatedColumnFormula>
    </tableColumn>
    <tableColumn id="19" xr3:uid="{4A3C10F9-B2D0-5D4B-ABD8-ED574103302E}" name="Ancienneté">
      <calculatedColumnFormula>_xlfn.XLOOKUP($A2,Matr_Employes,Employés!F:F,,0)</calculatedColumnFormula>
    </tableColumn>
    <tableColumn id="20" xr3:uid="{BB0BBBA0-ED78-3D47-8242-395E29BA3F9E}" name="Statut">
      <calculatedColumnFormula>_xlfn.XLOOKUP($A2,Matr_Employes,Employés!G:G,,0)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2D8FD7-1ED8-1B4C-8748-D5BB517B4CA2}" name="voitures_disponibles" displayName="voitures_disponibles" ref="A1:L11" tableType="queryTable" totalsRowShown="0">
  <autoFilter ref="A1:L11" xr:uid="{C52D8FD7-1ED8-1B4C-8748-D5BB517B4CA2}"/>
  <tableColumns count="12">
    <tableColumn id="1" xr3:uid="{E7887766-BD9B-9F45-A435-575BDB196534}" uniqueName="1" name="Make" queryTableFieldId="1" dataDxfId="14"/>
    <tableColumn id="2" xr3:uid="{CFD4D24F-7F01-1B4E-9B8B-7E909C5EA9DE}" uniqueName="2" name="Model" queryTableFieldId="2" dataDxfId="13"/>
    <tableColumn id="3" xr3:uid="{6095F8D2-3060-C744-8A79-A91DFA45F664}" uniqueName="3" name="Vehicle Class" queryTableFieldId="3" dataDxfId="12"/>
    <tableColumn id="4" xr3:uid="{25BE3644-2261-1043-90B8-1004A8CCBA6B}" uniqueName="4" name="Engine Size(L)" queryTableFieldId="4" dataDxfId="11"/>
    <tableColumn id="5" xr3:uid="{59B36490-2070-F241-B1DE-DE179070F1BB}" uniqueName="5" name="Cylinders" queryTableFieldId="5"/>
    <tableColumn id="6" xr3:uid="{D4FFA2F0-327F-A649-8E9D-C0CDAFDE8C1B}" uniqueName="6" name="Transmission" queryTableFieldId="6" dataDxfId="10"/>
    <tableColumn id="7" xr3:uid="{27922483-308B-EE40-8714-C23C92FADE89}" uniqueName="7" name="Fuel Consumption City (L/100 km)" queryTableFieldId="7" dataDxfId="9"/>
    <tableColumn id="8" xr3:uid="{F3BB2E70-99B0-5545-8AC2-C4577F42CB83}" uniqueName="8" name="Fuel Consumption Hwy (L/100 km)" queryTableFieldId="8" dataDxfId="1"/>
    <tableColumn id="9" xr3:uid="{5005BD63-AD30-2D45-96C7-114EE6BCA80A}" uniqueName="9" name="Fuel Consumption Comb (L/100 km)" queryTableFieldId="9" dataDxfId="0"/>
    <tableColumn id="10" xr3:uid="{195FF75E-F90A-A24F-8E92-82C938E9C091}" uniqueName="10" name="Fuel Consumption Comb (mpg)" queryTableFieldId="10"/>
    <tableColumn id="11" xr3:uid="{9FD7F8D3-6078-4A46-BE4F-FA5E8D61B8AD}" uniqueName="11" name="CO2 Emissions(g/km)" queryTableFieldId="11"/>
    <tableColumn id="12" xr3:uid="{F214020F-31D6-D644-AB29-B35A067D704E}" uniqueName="12" name="immatriculation" queryTableFieldId="12" dataDxfId="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36CBBF-6648-1149-B6B1-02984C1274B5}" name="villes" displayName="villes" ref="A1:E101" tableType="queryTable" totalsRowShown="0">
  <autoFilter ref="A1:E101" xr:uid="{EE36CBBF-6648-1149-B6B1-02984C1274B5}"/>
  <tableColumns count="5">
    <tableColumn id="1" xr3:uid="{1385469A-8808-6144-973F-C5B9EF501C96}" uniqueName="1" name="code_postal" queryTableFieldId="1" dataDxfId="7"/>
    <tableColumn id="2" xr3:uid="{13C6F76A-73B9-A940-B579-CF6C63CE2196}" uniqueName="2" name="code_dep_insee" queryTableFieldId="2" dataDxfId="6"/>
    <tableColumn id="3" xr3:uid="{9B976A77-8CC8-EB4E-B95F-EE4D5B445354}" uniqueName="3" name="nom_commune" queryTableFieldId="3" dataDxfId="5"/>
    <tableColumn id="4" xr3:uid="{1D791F36-A11F-EB42-AFDA-75BEF30A0459}" uniqueName="4" name="Population" queryTableFieldId="4"/>
    <tableColumn id="5" xr3:uid="{565DADDA-8C4C-924E-948F-3460685EAAB3}" uniqueName="5" name="distance_paris_km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B9ED4-82BA-EA42-AE36-D8057DD68563}">
  <dimension ref="A1:K11"/>
  <sheetViews>
    <sheetView workbookViewId="0">
      <selection sqref="A1:A1048576"/>
    </sheetView>
  </sheetViews>
  <sheetFormatPr baseColWidth="10" defaultRowHeight="16" x14ac:dyDescent="0.2"/>
  <cols>
    <col min="1" max="1" width="10.83203125" style="12"/>
    <col min="2" max="2" width="25.83203125" customWidth="1"/>
    <col min="3" max="4" width="13.5" customWidth="1"/>
    <col min="5" max="6" width="14" customWidth="1"/>
    <col min="7" max="7" width="12.33203125" style="12" customWidth="1"/>
    <col min="9" max="9" width="10.83203125" style="13"/>
    <col min="10" max="10" width="21.5" customWidth="1"/>
    <col min="11" max="11" width="17.83203125" customWidth="1"/>
  </cols>
  <sheetData>
    <row r="1" spans="1:11" x14ac:dyDescent="0.2">
      <c r="A1" s="4" t="s">
        <v>18</v>
      </c>
      <c r="B1" s="4" t="s">
        <v>0</v>
      </c>
      <c r="C1" s="4" t="s">
        <v>1</v>
      </c>
      <c r="D1" s="4" t="s">
        <v>115</v>
      </c>
      <c r="E1" s="4" t="s">
        <v>2</v>
      </c>
      <c r="F1" s="4" t="s">
        <v>116</v>
      </c>
      <c r="G1" s="4" t="s">
        <v>3</v>
      </c>
      <c r="H1" s="4" t="s">
        <v>4</v>
      </c>
      <c r="I1" s="20" t="s">
        <v>5</v>
      </c>
      <c r="J1" s="4" t="s">
        <v>346</v>
      </c>
      <c r="K1" s="4" t="s">
        <v>393</v>
      </c>
    </row>
    <row r="2" spans="1:11" x14ac:dyDescent="0.2">
      <c r="A2" s="12">
        <v>7178</v>
      </c>
      <c r="B2" t="s">
        <v>6</v>
      </c>
      <c r="C2" s="1">
        <v>33992</v>
      </c>
      <c r="D2" s="14">
        <f ca="1">ROUNDDOWN(YEARFRAC(C2,TODAY()),0)</f>
        <v>32</v>
      </c>
      <c r="E2" s="1">
        <v>44262</v>
      </c>
      <c r="F2" s="14">
        <f ca="1">ROUNDDOWN(YEARFRAC(E2,TODAY()),0)</f>
        <v>4</v>
      </c>
      <c r="G2" s="12" t="s">
        <v>7</v>
      </c>
      <c r="H2" s="2">
        <v>93.06</v>
      </c>
      <c r="I2" s="21">
        <v>3</v>
      </c>
      <c r="J2" s="2">
        <f>SUMIF(Matr_Deplacements,$A2,Déplacements!M:M)</f>
        <v>4749.5221127281939</v>
      </c>
      <c r="K2" s="21">
        <f>SUMIF(Matr_Deplacements,$A2,Déplacements!N:N)</f>
        <v>226.51395893825557</v>
      </c>
    </row>
    <row r="3" spans="1:11" x14ac:dyDescent="0.2">
      <c r="A3" s="12">
        <v>9958</v>
      </c>
      <c r="B3" t="s">
        <v>8</v>
      </c>
      <c r="C3" s="1">
        <v>36505</v>
      </c>
      <c r="D3" s="14">
        <f t="shared" ref="D3:D11" ca="1" si="0">ROUNDDOWN(YEARFRAC(C3,TODAY()),0)</f>
        <v>25</v>
      </c>
      <c r="E3" s="1">
        <v>45075</v>
      </c>
      <c r="F3" s="14">
        <f t="shared" ref="F3:F11" ca="1" si="1">ROUNDDOWN(YEARFRAC(E3,TODAY()),0)</f>
        <v>2</v>
      </c>
      <c r="G3" s="12" t="s">
        <v>7</v>
      </c>
      <c r="H3" s="2">
        <v>55.87</v>
      </c>
      <c r="I3" s="21">
        <v>1</v>
      </c>
      <c r="J3" s="2">
        <f>SUMIF(Matr_Deplacements,$A3,Déplacements!M:M)</f>
        <v>3494.1856442864673</v>
      </c>
      <c r="K3" s="21">
        <f>SUMIF(Matr_Deplacements,$A3,Déplacements!N:N)</f>
        <v>19.379857208476075</v>
      </c>
    </row>
    <row r="4" spans="1:11" x14ac:dyDescent="0.2">
      <c r="A4" s="12">
        <v>7152</v>
      </c>
      <c r="B4" t="s">
        <v>9</v>
      </c>
      <c r="C4" s="1">
        <v>35127</v>
      </c>
      <c r="D4" s="14">
        <f t="shared" ca="1" si="0"/>
        <v>29</v>
      </c>
      <c r="E4" s="1">
        <v>45427</v>
      </c>
      <c r="F4" s="14">
        <f t="shared" ca="1" si="1"/>
        <v>1</v>
      </c>
      <c r="G4" s="12" t="s">
        <v>7</v>
      </c>
      <c r="H4" s="2">
        <v>66.400000000000006</v>
      </c>
      <c r="I4" s="21">
        <v>3</v>
      </c>
      <c r="J4" s="2">
        <f>SUMIF(Matr_Deplacements,$A4,Déplacements!M:M)</f>
        <v>4322.2852310681683</v>
      </c>
      <c r="K4" s="21">
        <f>SUMIF(Matr_Deplacements,$A4,Déplacements!N:N)</f>
        <v>347.96781080630274</v>
      </c>
    </row>
    <row r="5" spans="1:11" x14ac:dyDescent="0.2">
      <c r="A5" s="12">
        <v>9790</v>
      </c>
      <c r="B5" t="s">
        <v>10</v>
      </c>
      <c r="C5" s="1">
        <v>36427</v>
      </c>
      <c r="D5" s="14">
        <f t="shared" ca="1" si="0"/>
        <v>26</v>
      </c>
      <c r="E5" s="1">
        <v>45586</v>
      </c>
      <c r="F5" s="14">
        <f t="shared" ca="1" si="1"/>
        <v>0</v>
      </c>
      <c r="G5" s="12" t="s">
        <v>7</v>
      </c>
      <c r="H5" s="2">
        <v>75.7</v>
      </c>
      <c r="I5" s="21">
        <v>5</v>
      </c>
      <c r="J5" s="2">
        <f>SUMIF(Matr_Deplacements,$A5,Déplacements!M:M)</f>
        <v>10330.502264406277</v>
      </c>
      <c r="K5" s="21">
        <f>SUMIF(Matr_Deplacements,$A5,Déplacements!N:N)</f>
        <v>510.70937864966174</v>
      </c>
    </row>
    <row r="6" spans="1:11" x14ac:dyDescent="0.2">
      <c r="A6" s="12">
        <v>4029</v>
      </c>
      <c r="B6" t="s">
        <v>11</v>
      </c>
      <c r="C6" s="1">
        <v>36087</v>
      </c>
      <c r="D6" s="14">
        <f t="shared" ca="1" si="0"/>
        <v>26</v>
      </c>
      <c r="E6" s="1">
        <v>44702</v>
      </c>
      <c r="F6" s="14">
        <f t="shared" ca="1" si="1"/>
        <v>3</v>
      </c>
      <c r="G6" s="12" t="s">
        <v>7</v>
      </c>
      <c r="H6" s="2">
        <v>57.82</v>
      </c>
      <c r="I6" s="21">
        <v>3</v>
      </c>
      <c r="J6" s="2">
        <f>SUMIF(Matr_Deplacements,$A6,Déplacements!M:M)</f>
        <v>7717.0905405876474</v>
      </c>
      <c r="K6" s="21">
        <f>SUMIF(Matr_Deplacements,$A6,Déplacements!N:N)</f>
        <v>248.66535833644286</v>
      </c>
    </row>
    <row r="7" spans="1:11" x14ac:dyDescent="0.2">
      <c r="A7" s="12">
        <v>9564</v>
      </c>
      <c r="B7" t="s">
        <v>12</v>
      </c>
      <c r="C7" s="1">
        <v>30752</v>
      </c>
      <c r="D7" s="14">
        <f t="shared" ca="1" si="0"/>
        <v>41</v>
      </c>
      <c r="E7" s="1">
        <v>45133</v>
      </c>
      <c r="F7" s="14">
        <f t="shared" ca="1" si="1"/>
        <v>2</v>
      </c>
      <c r="G7" s="12" t="s">
        <v>13</v>
      </c>
      <c r="H7" s="2">
        <v>140.29</v>
      </c>
      <c r="I7" s="21">
        <v>12</v>
      </c>
      <c r="J7" s="2">
        <f>SUMIF(Matr_Deplacements,$A7,Déplacements!M:M)</f>
        <v>8121.2713144389409</v>
      </c>
      <c r="K7" s="21">
        <f>SUMIF(Matr_Deplacements,$A7,Déplacements!N:N)</f>
        <v>430.68784106145313</v>
      </c>
    </row>
    <row r="8" spans="1:11" x14ac:dyDescent="0.2">
      <c r="A8" s="12">
        <v>2901</v>
      </c>
      <c r="B8" t="s">
        <v>14</v>
      </c>
      <c r="C8" s="1">
        <v>32612</v>
      </c>
      <c r="D8" s="14">
        <f t="shared" ca="1" si="0"/>
        <v>36</v>
      </c>
      <c r="E8" s="1">
        <v>43972</v>
      </c>
      <c r="F8" s="14">
        <f t="shared" ca="1" si="1"/>
        <v>5</v>
      </c>
      <c r="G8" s="12" t="s">
        <v>13</v>
      </c>
      <c r="H8" s="2">
        <v>140.03</v>
      </c>
      <c r="I8" s="21">
        <v>11</v>
      </c>
      <c r="J8" s="2">
        <f>SUMIF(Matr_Deplacements,$A8,Déplacements!M:M)</f>
        <v>6078.6234525867185</v>
      </c>
      <c r="K8" s="21">
        <f>SUMIF(Matr_Deplacements,$A8,Déplacements!N:N)</f>
        <v>357.45476055977628</v>
      </c>
    </row>
    <row r="9" spans="1:11" x14ac:dyDescent="0.2">
      <c r="A9" s="12">
        <v>3751</v>
      </c>
      <c r="B9" t="s">
        <v>15</v>
      </c>
      <c r="C9" s="1">
        <v>30869</v>
      </c>
      <c r="D9" s="14">
        <f t="shared" ca="1" si="0"/>
        <v>41</v>
      </c>
      <c r="E9" s="1">
        <v>44864</v>
      </c>
      <c r="F9" s="14">
        <f t="shared" ca="1" si="1"/>
        <v>2</v>
      </c>
      <c r="G9" s="12" t="s">
        <v>13</v>
      </c>
      <c r="H9" s="2">
        <v>109.05</v>
      </c>
      <c r="I9" s="21">
        <v>12</v>
      </c>
      <c r="J9" s="2">
        <f>SUMIF(Matr_Deplacements,$A9,Déplacements!M:M)</f>
        <v>7718.6790118275194</v>
      </c>
      <c r="K9" s="21">
        <f>SUMIF(Matr_Deplacements,$A9,Déplacements!N:N)</f>
        <v>422.98149327105767</v>
      </c>
    </row>
    <row r="10" spans="1:11" x14ac:dyDescent="0.2">
      <c r="A10" s="12">
        <v>6763</v>
      </c>
      <c r="B10" t="s">
        <v>16</v>
      </c>
      <c r="C10" s="1">
        <v>35269</v>
      </c>
      <c r="D10" s="14">
        <f t="shared" ca="1" si="0"/>
        <v>29</v>
      </c>
      <c r="E10" s="1">
        <v>44516</v>
      </c>
      <c r="F10" s="14">
        <f t="shared" ca="1" si="1"/>
        <v>3</v>
      </c>
      <c r="G10" s="12" t="s">
        <v>7</v>
      </c>
      <c r="H10" s="2">
        <v>60.05</v>
      </c>
      <c r="I10" s="21">
        <v>2</v>
      </c>
      <c r="J10" s="2">
        <f>SUMIF(Matr_Deplacements,$A10,Déplacements!M:M)</f>
        <v>3686.6707474067448</v>
      </c>
      <c r="K10" s="21">
        <f>SUMIF(Matr_Deplacements,$A10,Déplacements!N:N)</f>
        <v>160.03206917683062</v>
      </c>
    </row>
    <row r="11" spans="1:11" x14ac:dyDescent="0.2">
      <c r="A11" s="12">
        <v>9393</v>
      </c>
      <c r="B11" t="s">
        <v>17</v>
      </c>
      <c r="C11" s="1">
        <v>35700</v>
      </c>
      <c r="D11" s="14">
        <f t="shared" ca="1" si="0"/>
        <v>28</v>
      </c>
      <c r="E11" s="1">
        <v>45364</v>
      </c>
      <c r="F11" s="14">
        <f t="shared" ca="1" si="1"/>
        <v>1</v>
      </c>
      <c r="G11" s="12" t="s">
        <v>7</v>
      </c>
      <c r="H11" s="2">
        <v>67.08</v>
      </c>
      <c r="I11" s="21">
        <v>4</v>
      </c>
      <c r="J11" s="2">
        <f>SUMIF(Matr_Deplacements,$A11,Déplacements!M:M)</f>
        <v>6920.0044666110844</v>
      </c>
      <c r="K11" s="21">
        <f>SUMIF(Matr_Deplacements,$A11,Déplacements!N:N)</f>
        <v>377.56160463106772</v>
      </c>
    </row>
  </sheetData>
  <conditionalFormatting sqref="K2:K11">
    <cfRule type="cellIs" dxfId="4" priority="1" operator="greaterThan">
      <formula>limiteKgCO2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CD154-18F8-2148-8696-C3B5B91CDF21}">
  <dimension ref="A1:L16"/>
  <sheetViews>
    <sheetView workbookViewId="0">
      <selection activeCell="L2" sqref="L2"/>
    </sheetView>
  </sheetViews>
  <sheetFormatPr baseColWidth="10" defaultRowHeight="16" x14ac:dyDescent="0.2"/>
  <cols>
    <col min="1" max="1" width="10.83203125" style="12"/>
    <col min="2" max="2" width="13.5" customWidth="1"/>
    <col min="3" max="3" width="23.5" customWidth="1"/>
    <col min="4" max="4" width="12.5" customWidth="1"/>
    <col min="5" max="5" width="12.83203125" style="2" customWidth="1"/>
    <col min="6" max="6" width="22.33203125" style="2" customWidth="1"/>
    <col min="7" max="7" width="23" style="2" customWidth="1"/>
    <col min="8" max="8" width="12.83203125" style="12" customWidth="1"/>
    <col min="9" max="9" width="12.6640625" customWidth="1"/>
    <col min="10" max="10" width="23" customWidth="1"/>
    <col min="11" max="11" width="19.6640625" customWidth="1"/>
    <col min="12" max="12" width="12.83203125" customWidth="1"/>
  </cols>
  <sheetData>
    <row r="1" spans="1:12" x14ac:dyDescent="0.2">
      <c r="A1" s="4" t="s">
        <v>19</v>
      </c>
      <c r="B1" s="3" t="s">
        <v>20</v>
      </c>
      <c r="C1" s="3" t="s">
        <v>21</v>
      </c>
      <c r="D1" s="3" t="s">
        <v>22</v>
      </c>
      <c r="E1" s="15" t="s">
        <v>23</v>
      </c>
      <c r="F1" s="15" t="s">
        <v>24</v>
      </c>
      <c r="G1" s="15" t="s">
        <v>25</v>
      </c>
      <c r="H1" s="4" t="s">
        <v>26</v>
      </c>
      <c r="I1" s="16" t="s">
        <v>117</v>
      </c>
      <c r="J1" s="4" t="s">
        <v>346</v>
      </c>
      <c r="K1" s="4" t="s">
        <v>347</v>
      </c>
      <c r="L1" s="4" t="s">
        <v>348</v>
      </c>
    </row>
    <row r="2" spans="1:12" x14ac:dyDescent="0.2">
      <c r="A2" s="12">
        <v>8519</v>
      </c>
      <c r="B2" t="s">
        <v>27</v>
      </c>
      <c r="C2" t="s">
        <v>28</v>
      </c>
      <c r="D2" s="1">
        <v>45616</v>
      </c>
      <c r="E2" s="2">
        <v>229.43</v>
      </c>
      <c r="F2" s="2">
        <v>14413.66</v>
      </c>
      <c r="G2" s="2">
        <v>25840.080000000002</v>
      </c>
      <c r="H2" s="12">
        <v>37</v>
      </c>
      <c r="I2" s="1">
        <f>EDATE(D2,H2)</f>
        <v>46741</v>
      </c>
      <c r="J2" s="2">
        <f>SUMIF(NP_Deplacements,$A2,Déplacements!$M:$M)</f>
        <v>11615.45695872541</v>
      </c>
      <c r="K2" s="22">
        <f>F2-J2</f>
        <v>2798.2030412745899</v>
      </c>
      <c r="L2" s="23">
        <f>J2/F2</f>
        <v>0.80586450344502436</v>
      </c>
    </row>
    <row r="3" spans="1:12" x14ac:dyDescent="0.2">
      <c r="A3" s="12">
        <v>9474</v>
      </c>
      <c r="B3" t="s">
        <v>29</v>
      </c>
      <c r="C3" t="s">
        <v>30</v>
      </c>
      <c r="D3" s="1">
        <v>45289</v>
      </c>
      <c r="E3" s="2">
        <v>99.51</v>
      </c>
      <c r="F3" s="2">
        <v>23168.63</v>
      </c>
      <c r="G3" s="2">
        <v>68957.47</v>
      </c>
      <c r="H3" s="12">
        <v>12</v>
      </c>
      <c r="I3" s="1">
        <f t="shared" ref="I3:I16" si="0">EDATE(D3,H3)</f>
        <v>45655</v>
      </c>
      <c r="J3" s="2">
        <f>SUMIF(NP_Deplacements,$A3,Déplacements!$M:$M)</f>
        <v>4322.2852310681683</v>
      </c>
      <c r="K3" s="22">
        <f t="shared" ref="K3:K16" si="1">F3-J3</f>
        <v>18846.344768931835</v>
      </c>
      <c r="L3" s="23">
        <f t="shared" ref="L3:L16" si="2">J3/F3</f>
        <v>0.18655765278603734</v>
      </c>
    </row>
    <row r="4" spans="1:12" x14ac:dyDescent="0.2">
      <c r="A4" s="12">
        <v>9247</v>
      </c>
      <c r="B4" t="s">
        <v>31</v>
      </c>
      <c r="C4" t="s">
        <v>32</v>
      </c>
      <c r="D4" s="1">
        <v>45489</v>
      </c>
      <c r="E4" s="2">
        <v>108.39</v>
      </c>
      <c r="F4" s="2">
        <v>36269.050000000003</v>
      </c>
      <c r="G4" s="2">
        <v>46195.43</v>
      </c>
      <c r="H4" s="12">
        <v>35</v>
      </c>
      <c r="I4" s="1">
        <f t="shared" si="0"/>
        <v>46554</v>
      </c>
      <c r="J4" s="2">
        <f>SUMIF(NP_Deplacements,$A4,Déplacements!$M:$M)</f>
        <v>7717.0905405876474</v>
      </c>
      <c r="K4" s="22">
        <f t="shared" si="1"/>
        <v>28551.959459412355</v>
      </c>
      <c r="L4" s="23">
        <f t="shared" si="2"/>
        <v>0.21277344018075045</v>
      </c>
    </row>
    <row r="5" spans="1:12" x14ac:dyDescent="0.2">
      <c r="A5" s="12">
        <v>1934</v>
      </c>
      <c r="B5" t="s">
        <v>33</v>
      </c>
      <c r="C5" t="s">
        <v>28</v>
      </c>
      <c r="D5" s="1">
        <v>45682</v>
      </c>
      <c r="E5" s="2">
        <v>234.4</v>
      </c>
      <c r="F5" s="2">
        <v>22717.26</v>
      </c>
      <c r="G5" s="2">
        <v>50839</v>
      </c>
      <c r="H5" s="12">
        <v>31</v>
      </c>
      <c r="I5" s="1">
        <f t="shared" si="0"/>
        <v>46624</v>
      </c>
      <c r="J5" s="2">
        <f>SUMIF(NP_Deplacements,$A5,Déplacements!$M:$M)</f>
        <v>6920.0044666110844</v>
      </c>
      <c r="K5" s="22">
        <f t="shared" si="1"/>
        <v>15797.255533388914</v>
      </c>
      <c r="L5" s="23">
        <f t="shared" si="2"/>
        <v>0.30461439744982821</v>
      </c>
    </row>
    <row r="6" spans="1:12" x14ac:dyDescent="0.2">
      <c r="A6" s="12">
        <v>8482</v>
      </c>
      <c r="B6" t="s">
        <v>34</v>
      </c>
      <c r="C6" t="s">
        <v>35</v>
      </c>
      <c r="D6" s="1">
        <v>45151</v>
      </c>
      <c r="E6" s="2">
        <v>205.56</v>
      </c>
      <c r="F6" s="2">
        <v>47937.99</v>
      </c>
      <c r="G6" s="2">
        <v>24154.799999999999</v>
      </c>
      <c r="H6" s="12">
        <v>12</v>
      </c>
      <c r="I6" s="1">
        <f t="shared" si="0"/>
        <v>45517</v>
      </c>
      <c r="J6" s="2">
        <f>SUMIF(NP_Deplacements,$A6,Déplacements!$M:$M)</f>
        <v>0</v>
      </c>
      <c r="K6" s="22">
        <f t="shared" si="1"/>
        <v>47937.99</v>
      </c>
      <c r="L6" s="23">
        <f t="shared" si="2"/>
        <v>0</v>
      </c>
    </row>
    <row r="7" spans="1:12" x14ac:dyDescent="0.2">
      <c r="A7" s="12">
        <v>1759</v>
      </c>
      <c r="B7" t="s">
        <v>36</v>
      </c>
      <c r="C7" t="s">
        <v>37</v>
      </c>
      <c r="D7" s="1">
        <v>44980</v>
      </c>
      <c r="E7" s="2">
        <v>131.37</v>
      </c>
      <c r="F7" s="2">
        <v>56222.17</v>
      </c>
      <c r="G7" s="2">
        <v>38422.449999999997</v>
      </c>
      <c r="H7" s="12">
        <v>12</v>
      </c>
      <c r="I7" s="1">
        <f t="shared" si="0"/>
        <v>45345</v>
      </c>
      <c r="J7" s="2">
        <f>SUMIF(NP_Deplacements,$A7,Déplacements!$M:$M)</f>
        <v>0</v>
      </c>
      <c r="K7" s="22">
        <f t="shared" si="1"/>
        <v>56222.17</v>
      </c>
      <c r="L7" s="23">
        <f t="shared" si="2"/>
        <v>0</v>
      </c>
    </row>
    <row r="8" spans="1:12" x14ac:dyDescent="0.2">
      <c r="A8" s="12">
        <v>6619</v>
      </c>
      <c r="B8" t="s">
        <v>38</v>
      </c>
      <c r="C8" t="s">
        <v>37</v>
      </c>
      <c r="D8" s="1">
        <v>45305</v>
      </c>
      <c r="E8" s="2">
        <v>82.12</v>
      </c>
      <c r="F8" s="2">
        <v>16486.95</v>
      </c>
      <c r="G8" s="2">
        <v>65888.95</v>
      </c>
      <c r="H8" s="12">
        <v>54</v>
      </c>
      <c r="I8" s="1">
        <f t="shared" si="0"/>
        <v>46948</v>
      </c>
      <c r="J8" s="2">
        <f>SUMIF(NP_Deplacements,$A8,Déplacements!$M:$M)</f>
        <v>0</v>
      </c>
      <c r="K8" s="22">
        <f t="shared" si="1"/>
        <v>16486.95</v>
      </c>
      <c r="L8" s="23">
        <f t="shared" si="2"/>
        <v>0</v>
      </c>
    </row>
    <row r="9" spans="1:12" x14ac:dyDescent="0.2">
      <c r="A9" s="12">
        <v>7064</v>
      </c>
      <c r="B9" t="s">
        <v>39</v>
      </c>
      <c r="C9" t="s">
        <v>40</v>
      </c>
      <c r="D9" s="1">
        <v>45189</v>
      </c>
      <c r="E9" s="2">
        <v>201.15</v>
      </c>
      <c r="F9" s="2">
        <v>21887.33</v>
      </c>
      <c r="G9" s="2">
        <v>57471.68</v>
      </c>
      <c r="H9" s="12">
        <v>12</v>
      </c>
      <c r="I9" s="1">
        <f t="shared" si="0"/>
        <v>45555</v>
      </c>
      <c r="J9" s="2">
        <f>SUMIF(NP_Deplacements,$A9,Déplacements!$M:$M)</f>
        <v>0</v>
      </c>
      <c r="K9" s="22">
        <f t="shared" si="1"/>
        <v>21887.33</v>
      </c>
      <c r="L9" s="23">
        <f t="shared" si="2"/>
        <v>0</v>
      </c>
    </row>
    <row r="10" spans="1:12" x14ac:dyDescent="0.2">
      <c r="A10" s="12">
        <v>7265</v>
      </c>
      <c r="B10" t="s">
        <v>41</v>
      </c>
      <c r="C10" t="s">
        <v>42</v>
      </c>
      <c r="D10" s="1">
        <v>45081</v>
      </c>
      <c r="E10" s="2">
        <v>216.57</v>
      </c>
      <c r="F10" s="2">
        <v>23920.58</v>
      </c>
      <c r="G10" s="2">
        <v>19658.36</v>
      </c>
      <c r="H10" s="12">
        <v>12</v>
      </c>
      <c r="I10" s="1">
        <f t="shared" si="0"/>
        <v>45447</v>
      </c>
      <c r="J10" s="2">
        <f>SUMIF(NP_Deplacements,$A10,Déplacements!$M:$M)</f>
        <v>0</v>
      </c>
      <c r="K10" s="22">
        <f t="shared" si="1"/>
        <v>23920.58</v>
      </c>
      <c r="L10" s="23">
        <f t="shared" si="2"/>
        <v>0</v>
      </c>
    </row>
    <row r="11" spans="1:12" x14ac:dyDescent="0.2">
      <c r="A11" s="12">
        <v>1171</v>
      </c>
      <c r="B11" t="s">
        <v>43</v>
      </c>
      <c r="C11" t="s">
        <v>40</v>
      </c>
      <c r="D11" s="1">
        <v>45458</v>
      </c>
      <c r="E11" s="2">
        <v>204.16</v>
      </c>
      <c r="F11" s="2">
        <v>69602.990000000005</v>
      </c>
      <c r="G11" s="2">
        <v>44637.05</v>
      </c>
      <c r="H11" s="12">
        <v>52</v>
      </c>
      <c r="I11" s="1">
        <f t="shared" si="0"/>
        <v>47041</v>
      </c>
      <c r="J11" s="2">
        <f>SUMIF(NP_Deplacements,$A11,Déplacements!$M:$M)</f>
        <v>4749.5221127281939</v>
      </c>
      <c r="K11" s="22">
        <f t="shared" si="1"/>
        <v>64853.467887271814</v>
      </c>
      <c r="L11" s="23">
        <f t="shared" si="2"/>
        <v>6.8237328780389947E-2</v>
      </c>
    </row>
    <row r="12" spans="1:12" x14ac:dyDescent="0.2">
      <c r="A12" s="12">
        <v>9425</v>
      </c>
      <c r="B12" t="s">
        <v>44</v>
      </c>
      <c r="C12" t="s">
        <v>45</v>
      </c>
      <c r="D12" s="1">
        <v>45846</v>
      </c>
      <c r="E12" s="2">
        <v>161.18</v>
      </c>
      <c r="F12" s="2">
        <v>43936.63</v>
      </c>
      <c r="G12" s="2">
        <v>23954.9</v>
      </c>
      <c r="H12" s="12">
        <v>40</v>
      </c>
      <c r="I12" s="1">
        <f t="shared" si="0"/>
        <v>47065</v>
      </c>
      <c r="J12" s="2">
        <f>SUMIF(NP_Deplacements,$A12,Déplacements!$M:$M)</f>
        <v>10330.502264406277</v>
      </c>
      <c r="K12" s="22">
        <f t="shared" si="1"/>
        <v>33606.12773559372</v>
      </c>
      <c r="L12" s="23">
        <f t="shared" si="2"/>
        <v>0.23512277260241121</v>
      </c>
    </row>
    <row r="13" spans="1:12" x14ac:dyDescent="0.2">
      <c r="A13" s="12">
        <v>1019</v>
      </c>
      <c r="B13" t="s">
        <v>46</v>
      </c>
      <c r="C13" t="s">
        <v>35</v>
      </c>
      <c r="D13" s="1">
        <v>45036</v>
      </c>
      <c r="E13" s="2">
        <v>213.86</v>
      </c>
      <c r="F13" s="2">
        <v>23420.81</v>
      </c>
      <c r="G13" s="2">
        <v>31799.9</v>
      </c>
      <c r="H13" s="12">
        <v>12</v>
      </c>
      <c r="I13" s="1">
        <f t="shared" si="0"/>
        <v>45402</v>
      </c>
      <c r="J13" s="2">
        <f>SUMIF(NP_Deplacements,$A13,Déplacements!$M:$M)</f>
        <v>3686.6707474067448</v>
      </c>
      <c r="K13" s="22">
        <f t="shared" si="1"/>
        <v>19734.139252593257</v>
      </c>
      <c r="L13" s="23">
        <f t="shared" si="2"/>
        <v>0.15741004463153685</v>
      </c>
    </row>
    <row r="14" spans="1:12" x14ac:dyDescent="0.2">
      <c r="A14" s="12">
        <v>2042</v>
      </c>
      <c r="B14" t="s">
        <v>47</v>
      </c>
      <c r="C14" t="s">
        <v>40</v>
      </c>
      <c r="D14" s="1">
        <v>45154</v>
      </c>
      <c r="E14" s="2">
        <v>131.04</v>
      </c>
      <c r="F14" s="2">
        <v>45252.08</v>
      </c>
      <c r="G14" s="2">
        <v>40820.28</v>
      </c>
      <c r="H14" s="12">
        <v>12</v>
      </c>
      <c r="I14" s="1">
        <f t="shared" si="0"/>
        <v>45520</v>
      </c>
      <c r="J14" s="2">
        <f>SUMIF(NP_Deplacements,$A14,Déplacements!$M:$M)</f>
        <v>7718.6790118275194</v>
      </c>
      <c r="K14" s="22">
        <f t="shared" si="1"/>
        <v>37533.400988172485</v>
      </c>
      <c r="L14" s="23">
        <f t="shared" si="2"/>
        <v>0.17057070109987252</v>
      </c>
    </row>
    <row r="15" spans="1:12" x14ac:dyDescent="0.2">
      <c r="A15" s="12">
        <v>1820</v>
      </c>
      <c r="B15" t="s">
        <v>48</v>
      </c>
      <c r="C15" t="s">
        <v>49</v>
      </c>
      <c r="D15" s="1">
        <v>45731</v>
      </c>
      <c r="E15" s="2">
        <v>89.38</v>
      </c>
      <c r="F15" s="2">
        <v>59120.31</v>
      </c>
      <c r="G15" s="2">
        <v>33659.910000000003</v>
      </c>
      <c r="H15" s="12">
        <v>20</v>
      </c>
      <c r="I15" s="1">
        <f t="shared" si="0"/>
        <v>46341</v>
      </c>
      <c r="J15" s="2">
        <f>SUMIF(NP_Deplacements,$A15,Déplacements!$M:$M)</f>
        <v>0</v>
      </c>
      <c r="K15" s="22">
        <f t="shared" si="1"/>
        <v>59120.31</v>
      </c>
      <c r="L15" s="23">
        <f t="shared" si="2"/>
        <v>0</v>
      </c>
    </row>
    <row r="16" spans="1:12" x14ac:dyDescent="0.2">
      <c r="A16" s="12">
        <v>7236</v>
      </c>
      <c r="B16" t="s">
        <v>50</v>
      </c>
      <c r="C16" t="s">
        <v>51</v>
      </c>
      <c r="D16" s="1">
        <v>45442</v>
      </c>
      <c r="E16" s="2">
        <v>67.599999999999994</v>
      </c>
      <c r="F16" s="2">
        <v>77581.960000000006</v>
      </c>
      <c r="G16" s="2">
        <v>73410.34</v>
      </c>
      <c r="H16" s="12">
        <v>15</v>
      </c>
      <c r="I16" s="1">
        <f t="shared" si="0"/>
        <v>45899</v>
      </c>
      <c r="J16" s="2">
        <f>SUMIF(NP_Deplacements,$A16,Déplacements!$M:$M)</f>
        <v>6078.6234525867185</v>
      </c>
      <c r="K16" s="22">
        <f t="shared" si="1"/>
        <v>71503.336547413288</v>
      </c>
      <c r="L16" s="23">
        <f t="shared" si="2"/>
        <v>7.8350991036920406E-2</v>
      </c>
    </row>
  </sheetData>
  <conditionalFormatting sqref="I1:I16">
    <cfRule type="cellIs" dxfId="3" priority="2" operator="lessThan">
      <formula>TODAY()</formula>
    </cfRule>
  </conditionalFormatting>
  <conditionalFormatting sqref="L2:L16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{61BAE35A-1559-C14C-8045-AF556487DD70}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1BAE35A-1559-C14C-8045-AF556487DD70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L2:L16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15D7-F888-AE4F-8AD2-EF06C2D0E239}">
  <dimension ref="A1:T47"/>
  <sheetViews>
    <sheetView workbookViewId="0">
      <selection activeCell="J3" sqref="J3"/>
    </sheetView>
  </sheetViews>
  <sheetFormatPr baseColWidth="10" defaultRowHeight="16" x14ac:dyDescent="0.2"/>
  <cols>
    <col min="1" max="2" width="10.83203125" style="12"/>
    <col min="3" max="3" width="21.83203125" customWidth="1"/>
    <col min="4" max="4" width="16" style="12" customWidth="1"/>
    <col min="5" max="5" width="13.33203125" style="12" customWidth="1"/>
    <col min="6" max="6" width="18.6640625" customWidth="1"/>
    <col min="7" max="7" width="16.6640625" customWidth="1"/>
    <col min="8" max="8" width="14.33203125" style="2" customWidth="1"/>
    <col min="9" max="9" width="12.5" customWidth="1"/>
    <col min="10" max="10" width="16.6640625" customWidth="1"/>
    <col min="11" max="11" width="17" customWidth="1"/>
    <col min="12" max="12" width="20.1640625" customWidth="1"/>
    <col min="13" max="13" width="18.33203125" customWidth="1"/>
    <col min="14" max="14" width="19.1640625" customWidth="1"/>
    <col min="15" max="15" width="13" customWidth="1"/>
    <col min="16" max="16" width="28.5" customWidth="1"/>
    <col min="17" max="17" width="29" customWidth="1"/>
    <col min="19" max="19" width="12.6640625" customWidth="1"/>
  </cols>
  <sheetData>
    <row r="1" spans="1:20" s="4" customFormat="1" x14ac:dyDescent="0.2">
      <c r="A1" s="4" t="s">
        <v>18</v>
      </c>
      <c r="B1" s="4" t="s">
        <v>19</v>
      </c>
      <c r="C1" s="4" t="s">
        <v>52</v>
      </c>
      <c r="D1" s="4" t="s">
        <v>53</v>
      </c>
      <c r="E1" s="4" t="s">
        <v>54</v>
      </c>
      <c r="F1" s="4" t="s">
        <v>55</v>
      </c>
      <c r="G1" s="4" t="s">
        <v>56</v>
      </c>
      <c r="H1" s="16" t="s">
        <v>113</v>
      </c>
      <c r="I1" s="3" t="s">
        <v>343</v>
      </c>
      <c r="J1" s="4" t="s">
        <v>241</v>
      </c>
      <c r="K1" s="4" t="s">
        <v>242</v>
      </c>
      <c r="L1" s="4" t="s">
        <v>344</v>
      </c>
      <c r="M1" s="4" t="s">
        <v>345</v>
      </c>
      <c r="N1" s="4" t="s">
        <v>392</v>
      </c>
      <c r="O1" s="4" t="s">
        <v>394</v>
      </c>
      <c r="P1" s="4" t="s">
        <v>21</v>
      </c>
      <c r="Q1" s="4" t="s">
        <v>395</v>
      </c>
      <c r="R1" s="4" t="s">
        <v>115</v>
      </c>
      <c r="S1" s="4" t="s">
        <v>116</v>
      </c>
      <c r="T1" s="4" t="s">
        <v>3</v>
      </c>
    </row>
    <row r="2" spans="1:20" x14ac:dyDescent="0.2">
      <c r="A2" s="12">
        <v>4029</v>
      </c>
      <c r="B2" s="12">
        <v>9247</v>
      </c>
      <c r="C2" t="s">
        <v>57</v>
      </c>
      <c r="D2" s="17">
        <v>45929</v>
      </c>
      <c r="E2" s="17">
        <v>45937</v>
      </c>
      <c r="F2" t="s">
        <v>58</v>
      </c>
      <c r="H2" s="2">
        <v>261.2</v>
      </c>
      <c r="I2" s="14">
        <f>$E2-$D2</f>
        <v>8</v>
      </c>
      <c r="J2" s="13">
        <f>_xlfn.XLOOKUP($C2,villes[nom_commune],villes[distance_paris_km],,0)*2</f>
        <v>1014.985612721831</v>
      </c>
      <c r="K2" s="2">
        <f>_xlfn.XLOOKUP(_xlfn.XLOOKUP($C2,villes[nom_commune],villes[Population],0,0),Seuil_population,Nuitées,0,1)*I2</f>
        <v>400</v>
      </c>
      <c r="L2" s="2">
        <f t="shared" ref="L2:L47" si="0">VLOOKUP(A2,Employes,8,FALSE)*I2</f>
        <v>462.56</v>
      </c>
      <c r="M2" s="22">
        <f t="shared" ref="M2:M47" si="1">K2+L2+IF(F2="voiture",J2*PrixKM,H2)</f>
        <v>1123.76</v>
      </c>
      <c r="N2" s="18">
        <f>IF(F2&lt;&gt;"voiture",_xlfn.XLOOKUP(F2,ModesTransp,EmissionCO2Moy,,0),_xlfn.XLOOKUP(G2,voitures_disponibles!$L:$L,voitures_disponibles!$K:$K,,0))/1000*J2</f>
        <v>2.0299712254436622</v>
      </c>
      <c r="O2" t="str">
        <f t="shared" ref="O2:O47" si="2">VLOOKUP($B2,Projets,2,FALSE)</f>
        <v>E30</v>
      </c>
      <c r="P2" t="str">
        <f t="shared" ref="P2:P47" si="3">VLOOKUP($B2,Projets,3,FALSE)</f>
        <v>ERP</v>
      </c>
      <c r="Q2" t="str">
        <f>_xlfn.XLOOKUP($A2,Matr_Employes,Employés!B:B,,0)</f>
        <v>Philippe Jacquet</v>
      </c>
      <c r="R2">
        <f ca="1">_xlfn.XLOOKUP($A2,Matr_Employes,Employés!D:D,,0)</f>
        <v>26</v>
      </c>
      <c r="S2">
        <f ca="1">_xlfn.XLOOKUP($A2,Matr_Employes,Employés!F:F,,0)</f>
        <v>3</v>
      </c>
      <c r="T2" t="str">
        <f>_xlfn.XLOOKUP($A2,Matr_Employes,Employés!G:G,,0)</f>
        <v>junior</v>
      </c>
    </row>
    <row r="3" spans="1:20" x14ac:dyDescent="0.2">
      <c r="A3" s="12">
        <v>3751</v>
      </c>
      <c r="B3" s="12">
        <v>2042</v>
      </c>
      <c r="C3" t="s">
        <v>59</v>
      </c>
      <c r="D3" s="17">
        <v>45932</v>
      </c>
      <c r="E3" s="17">
        <v>45941</v>
      </c>
      <c r="F3" t="s">
        <v>60</v>
      </c>
      <c r="H3" s="2">
        <v>286</v>
      </c>
      <c r="I3" s="14">
        <f t="shared" ref="I3:I47" si="4">$E3-$D3</f>
        <v>9</v>
      </c>
      <c r="J3" s="13">
        <f>_xlfn.XLOOKUP($C3,villes[nom_commune],villes[distance_paris_km],,0)*2</f>
        <v>1383.9078713499114</v>
      </c>
      <c r="K3" s="2">
        <f>_xlfn.XLOOKUP(_xlfn.XLOOKUP($C3,villes[nom_commune],villes[Population],0,0),Seuil_population,Nuitées,0,1)*I3</f>
        <v>450</v>
      </c>
      <c r="L3" s="2">
        <f t="shared" si="0"/>
        <v>981.44999999999993</v>
      </c>
      <c r="M3" s="22">
        <f t="shared" si="1"/>
        <v>1717.4499999999998</v>
      </c>
      <c r="N3" s="18">
        <f>IF(F3&lt;&gt;"voiture",_xlfn.XLOOKUP(F3,ModesTransp,EmissionCO2Moy,,0),_xlfn.XLOOKUP(G3,voitures_disponibles!$L:$L,voitures_disponibles!$K:$K,,0))/1000*J3</f>
        <v>138.39078713499114</v>
      </c>
      <c r="O3" t="str">
        <f t="shared" si="2"/>
        <v>Optimus</v>
      </c>
      <c r="P3" t="str">
        <f t="shared" si="3"/>
        <v>finance</v>
      </c>
      <c r="Q3" t="str">
        <f>_xlfn.XLOOKUP($A3,Matr_Employes,Employés!B:B,,0)</f>
        <v>Michèle de la Bonneau</v>
      </c>
      <c r="R3">
        <f ca="1">_xlfn.XLOOKUP($A3,Matr_Employes,Employés!D:D,,0)</f>
        <v>41</v>
      </c>
      <c r="S3">
        <f ca="1">_xlfn.XLOOKUP($A3,Matr_Employes,Employés!F:F,,0)</f>
        <v>2</v>
      </c>
      <c r="T3" t="str">
        <f>_xlfn.XLOOKUP($A3,Matr_Employes,Employés!G:G,,0)</f>
        <v>senior</v>
      </c>
    </row>
    <row r="4" spans="1:20" x14ac:dyDescent="0.2">
      <c r="A4" s="12">
        <v>2901</v>
      </c>
      <c r="B4" s="12">
        <v>7236</v>
      </c>
      <c r="C4" t="s">
        <v>61</v>
      </c>
      <c r="D4" s="17">
        <v>45938</v>
      </c>
      <c r="E4" s="17">
        <v>45942</v>
      </c>
      <c r="F4" t="s">
        <v>62</v>
      </c>
      <c r="G4" t="s">
        <v>63</v>
      </c>
      <c r="I4" s="14">
        <f t="shared" si="4"/>
        <v>4</v>
      </c>
      <c r="J4" s="13">
        <f>_xlfn.XLOOKUP($C4,villes[nom_commune],villes[distance_paris_km],,0)*2</f>
        <v>970.26035500521243</v>
      </c>
      <c r="K4" s="2">
        <f>_xlfn.XLOOKUP(_xlfn.XLOOKUP($C4,villes[nom_commune],villes[Population],0,0),Seuil_population,Nuitées,0,1)*I4</f>
        <v>200</v>
      </c>
      <c r="L4" s="2">
        <f t="shared" si="0"/>
        <v>560.12</v>
      </c>
      <c r="M4" s="22">
        <f t="shared" si="1"/>
        <v>2458.0756212591218</v>
      </c>
      <c r="N4" s="18">
        <f>IF(F4&lt;&gt;"voiture",_xlfn.XLOOKUP(F4,ModesTransp,EmissionCO2Moy,,0),_xlfn.XLOOKUP(G4,voitures_disponibles!$L:$L,voitures_disponibles!$K:$K,,0))/1000*J4</f>
        <v>287.19706508154286</v>
      </c>
      <c r="O4" t="str">
        <f t="shared" si="2"/>
        <v>Alpha</v>
      </c>
      <c r="P4" t="str">
        <f t="shared" si="3"/>
        <v>CRM</v>
      </c>
      <c r="Q4" t="str">
        <f>_xlfn.XLOOKUP($A4,Matr_Employes,Employés!B:B,,0)</f>
        <v>Antoinette Gomez</v>
      </c>
      <c r="R4">
        <f ca="1">_xlfn.XLOOKUP($A4,Matr_Employes,Employés!D:D,,0)</f>
        <v>36</v>
      </c>
      <c r="S4">
        <f ca="1">_xlfn.XLOOKUP($A4,Matr_Employes,Employés!F:F,,0)</f>
        <v>5</v>
      </c>
      <c r="T4" t="str">
        <f>_xlfn.XLOOKUP($A4,Matr_Employes,Employés!G:G,,0)</f>
        <v>senior</v>
      </c>
    </row>
    <row r="5" spans="1:20" x14ac:dyDescent="0.2">
      <c r="A5" s="12">
        <v>9393</v>
      </c>
      <c r="B5" s="12">
        <v>1934</v>
      </c>
      <c r="C5" t="s">
        <v>64</v>
      </c>
      <c r="D5" s="17">
        <v>45941</v>
      </c>
      <c r="E5" s="17">
        <v>45945</v>
      </c>
      <c r="F5" t="s">
        <v>62</v>
      </c>
      <c r="G5" t="s">
        <v>65</v>
      </c>
      <c r="I5" s="14">
        <f t="shared" si="4"/>
        <v>4</v>
      </c>
      <c r="J5" s="13">
        <f>_xlfn.XLOOKUP($C5,villes[nom_commune],villes[distance_paris_km],,0)*2</f>
        <v>24.135524480783484</v>
      </c>
      <c r="K5" s="2">
        <f>_xlfn.XLOOKUP(_xlfn.XLOOKUP($C5,villes[nom_commune],villes[Population],0,0),Seuil_population,Nuitées,0,1)*I5</f>
        <v>300</v>
      </c>
      <c r="L5" s="2">
        <f t="shared" si="0"/>
        <v>268.32</v>
      </c>
      <c r="M5" s="22">
        <f t="shared" si="1"/>
        <v>610.55716784137098</v>
      </c>
      <c r="N5" s="18">
        <f>IF(F5&lt;&gt;"voiture",_xlfn.XLOOKUP(F5,ModesTransp,EmissionCO2Moy,,0),_xlfn.XLOOKUP(G5,voitures_disponibles!$L:$L,voitures_disponibles!$K:$K,,0))/1000*J5</f>
        <v>4.8271048961566976</v>
      </c>
      <c r="O5" t="str">
        <f t="shared" si="2"/>
        <v>Gamma</v>
      </c>
      <c r="P5" t="str">
        <f t="shared" si="3"/>
        <v>data science</v>
      </c>
      <c r="Q5" t="str">
        <f>_xlfn.XLOOKUP($A5,Matr_Employes,Employés!B:B,,0)</f>
        <v>Céline Marques</v>
      </c>
      <c r="R5">
        <f ca="1">_xlfn.XLOOKUP($A5,Matr_Employes,Employés!D:D,,0)</f>
        <v>28</v>
      </c>
      <c r="S5">
        <f ca="1">_xlfn.XLOOKUP($A5,Matr_Employes,Employés!F:F,,0)</f>
        <v>1</v>
      </c>
      <c r="T5" t="str">
        <f>_xlfn.XLOOKUP($A5,Matr_Employes,Employés!G:G,,0)</f>
        <v>junior</v>
      </c>
    </row>
    <row r="6" spans="1:20" x14ac:dyDescent="0.2">
      <c r="A6" s="12">
        <v>4029</v>
      </c>
      <c r="B6" s="12">
        <v>9247</v>
      </c>
      <c r="C6" t="s">
        <v>66</v>
      </c>
      <c r="D6" s="17">
        <v>45967</v>
      </c>
      <c r="E6" s="17">
        <v>45969</v>
      </c>
      <c r="F6" t="s">
        <v>58</v>
      </c>
      <c r="H6" s="2">
        <v>5</v>
      </c>
      <c r="I6" s="14">
        <f t="shared" si="4"/>
        <v>2</v>
      </c>
      <c r="J6" s="13">
        <f>_xlfn.XLOOKUP($C6,villes[nom_commune],villes[distance_paris_km],,0)*2</f>
        <v>16.416834937395087</v>
      </c>
      <c r="K6" s="2">
        <f>_xlfn.XLOOKUP(_xlfn.XLOOKUP($C6,villes[nom_commune],villes[Population],0,0),Seuil_population,Nuitées,0,1)*I6</f>
        <v>150</v>
      </c>
      <c r="L6" s="2">
        <f t="shared" si="0"/>
        <v>115.64</v>
      </c>
      <c r="M6" s="22">
        <f t="shared" si="1"/>
        <v>270.64</v>
      </c>
      <c r="N6" s="18">
        <f>IF(F6&lt;&gt;"voiture",_xlfn.XLOOKUP(F6,ModesTransp,EmissionCO2Moy,,0),_xlfn.XLOOKUP(G6,voitures_disponibles!$L:$L,voitures_disponibles!$K:$K,,0))/1000*J6</f>
        <v>3.2833669874790174E-2</v>
      </c>
      <c r="O6" t="str">
        <f t="shared" si="2"/>
        <v>E30</v>
      </c>
      <c r="P6" t="str">
        <f t="shared" si="3"/>
        <v>ERP</v>
      </c>
      <c r="Q6" t="str">
        <f>_xlfn.XLOOKUP($A6,Matr_Employes,Employés!B:B,,0)</f>
        <v>Philippe Jacquet</v>
      </c>
      <c r="R6">
        <f ca="1">_xlfn.XLOOKUP($A6,Matr_Employes,Employés!D:D,,0)</f>
        <v>26</v>
      </c>
      <c r="S6">
        <f ca="1">_xlfn.XLOOKUP($A6,Matr_Employes,Employés!F:F,,0)</f>
        <v>3</v>
      </c>
      <c r="T6" t="str">
        <f>_xlfn.XLOOKUP($A6,Matr_Employes,Employés!G:G,,0)</f>
        <v>junior</v>
      </c>
    </row>
    <row r="7" spans="1:20" x14ac:dyDescent="0.2">
      <c r="A7" s="12">
        <v>9790</v>
      </c>
      <c r="B7" s="12">
        <v>9425</v>
      </c>
      <c r="C7" t="s">
        <v>67</v>
      </c>
      <c r="D7" s="17">
        <v>45984</v>
      </c>
      <c r="E7" s="17">
        <v>45993</v>
      </c>
      <c r="F7" t="s">
        <v>62</v>
      </c>
      <c r="G7" t="s">
        <v>68</v>
      </c>
      <c r="I7" s="14">
        <f t="shared" si="4"/>
        <v>9</v>
      </c>
      <c r="J7" s="13">
        <f>_xlfn.XLOOKUP($C7,villes[nom_commune],villes[distance_paris_km],,0)*2</f>
        <v>1412.5042990148568</v>
      </c>
      <c r="K7" s="2">
        <f>_xlfn.XLOOKUP(_xlfn.XLOOKUP($C7,villes[nom_commune],villes[Population],0,0),Seuil_population,Nuitées,0,1)*I7</f>
        <v>450</v>
      </c>
      <c r="L7" s="2">
        <f t="shared" si="0"/>
        <v>681.30000000000007</v>
      </c>
      <c r="M7" s="22">
        <f t="shared" si="1"/>
        <v>3603.1825232759993</v>
      </c>
      <c r="N7" s="18">
        <f>IF(F7&lt;&gt;"voiture",_xlfn.XLOOKUP(F7,ModesTransp,EmissionCO2Moy,,0),_xlfn.XLOOKUP(G7,voitures_disponibles!$L:$L,voitures_disponibles!$K:$K,,0))/1000*J7</f>
        <v>218.9381663473028</v>
      </c>
      <c r="O7" t="str">
        <f t="shared" si="2"/>
        <v>Next</v>
      </c>
      <c r="P7" t="str">
        <f t="shared" si="3"/>
        <v>comptabilité</v>
      </c>
      <c r="Q7" t="str">
        <f>_xlfn.XLOOKUP($A7,Matr_Employes,Employés!B:B,,0)</f>
        <v>Gérard Chrétien du Pelletier</v>
      </c>
      <c r="R7">
        <f ca="1">_xlfn.XLOOKUP($A7,Matr_Employes,Employés!D:D,,0)</f>
        <v>26</v>
      </c>
      <c r="S7">
        <f ca="1">_xlfn.XLOOKUP($A7,Matr_Employes,Employés!F:F,,0)</f>
        <v>0</v>
      </c>
      <c r="T7" t="str">
        <f>_xlfn.XLOOKUP($A7,Matr_Employes,Employés!G:G,,0)</f>
        <v>junior</v>
      </c>
    </row>
    <row r="8" spans="1:20" x14ac:dyDescent="0.2">
      <c r="A8" s="12">
        <v>9958</v>
      </c>
      <c r="B8" s="12">
        <v>8519</v>
      </c>
      <c r="C8" t="s">
        <v>69</v>
      </c>
      <c r="D8" s="17">
        <v>45987</v>
      </c>
      <c r="E8" s="17">
        <v>45990</v>
      </c>
      <c r="F8" t="s">
        <v>58</v>
      </c>
      <c r="H8" s="2">
        <v>209.2</v>
      </c>
      <c r="I8" s="14">
        <f t="shared" si="4"/>
        <v>3</v>
      </c>
      <c r="J8" s="13">
        <f>_xlfn.XLOOKUP($C8,villes[nom_commune],villes[distance_paris_km],,0)*2</f>
        <v>694.23863342015648</v>
      </c>
      <c r="K8" s="2">
        <f>_xlfn.XLOOKUP(_xlfn.XLOOKUP($C8,villes[nom_commune],villes[Population],0,0),Seuil_population,Nuitées,0,1)*I8</f>
        <v>225</v>
      </c>
      <c r="L8" s="2">
        <f t="shared" si="0"/>
        <v>167.60999999999999</v>
      </c>
      <c r="M8" s="22">
        <f t="shared" si="1"/>
        <v>601.80999999999995</v>
      </c>
      <c r="N8" s="18">
        <f>IF(F8&lt;&gt;"voiture",_xlfn.XLOOKUP(F8,ModesTransp,EmissionCO2Moy,,0),_xlfn.XLOOKUP(G8,voitures_disponibles!$L:$L,voitures_disponibles!$K:$K,,0))/1000*J8</f>
        <v>1.3884772668403129</v>
      </c>
      <c r="O8" t="str">
        <f t="shared" si="2"/>
        <v>Infra2</v>
      </c>
      <c r="P8" t="str">
        <f t="shared" si="3"/>
        <v>data science</v>
      </c>
      <c r="Q8" t="str">
        <f>_xlfn.XLOOKUP($A8,Matr_Employes,Employés!B:B,,0)</f>
        <v>Valérie Le Gall</v>
      </c>
      <c r="R8">
        <f ca="1">_xlfn.XLOOKUP($A8,Matr_Employes,Employés!D:D,,0)</f>
        <v>25</v>
      </c>
      <c r="S8">
        <f ca="1">_xlfn.XLOOKUP($A8,Matr_Employes,Employés!F:F,,0)</f>
        <v>2</v>
      </c>
      <c r="T8" t="str">
        <f>_xlfn.XLOOKUP($A8,Matr_Employes,Employés!G:G,,0)</f>
        <v>junior</v>
      </c>
    </row>
    <row r="9" spans="1:20" x14ac:dyDescent="0.2">
      <c r="A9" s="12">
        <v>3751</v>
      </c>
      <c r="B9" s="12">
        <v>2042</v>
      </c>
      <c r="C9" t="s">
        <v>70</v>
      </c>
      <c r="D9" s="17">
        <v>45994</v>
      </c>
      <c r="E9" s="17">
        <v>45996</v>
      </c>
      <c r="F9" t="s">
        <v>62</v>
      </c>
      <c r="G9" t="s">
        <v>71</v>
      </c>
      <c r="I9" s="14">
        <f t="shared" si="4"/>
        <v>2</v>
      </c>
      <c r="J9" s="13">
        <f>_xlfn.XLOOKUP($C9,villes[nom_commune],villes[distance_paris_km],,0)*2</f>
        <v>263.6576541995081</v>
      </c>
      <c r="K9" s="2">
        <f>_xlfn.XLOOKUP(_xlfn.XLOOKUP($C9,villes[nom_commune],villes[Population],0,0),Seuil_population,Nuitées,0,1)*I9</f>
        <v>200</v>
      </c>
      <c r="L9" s="2">
        <f t="shared" si="0"/>
        <v>218.1</v>
      </c>
      <c r="M9" s="22">
        <f t="shared" si="1"/>
        <v>879.50089484913917</v>
      </c>
      <c r="N9" s="18">
        <f>IF(F9&lt;&gt;"voiture",_xlfn.XLOOKUP(F9,ModesTransp,EmissionCO2Moy,,0),_xlfn.XLOOKUP(G9,voitures_disponibles!$L:$L,voitures_disponibles!$K:$K,,0))/1000*J9</f>
        <v>56.422737998694735</v>
      </c>
      <c r="O9" t="str">
        <f t="shared" si="2"/>
        <v>Optimus</v>
      </c>
      <c r="P9" t="str">
        <f t="shared" si="3"/>
        <v>finance</v>
      </c>
      <c r="Q9" t="str">
        <f>_xlfn.XLOOKUP($A9,Matr_Employes,Employés!B:B,,0)</f>
        <v>Michèle de la Bonneau</v>
      </c>
      <c r="R9">
        <f ca="1">_xlfn.XLOOKUP($A9,Matr_Employes,Employés!D:D,,0)</f>
        <v>41</v>
      </c>
      <c r="S9">
        <f ca="1">_xlfn.XLOOKUP($A9,Matr_Employes,Employés!F:F,,0)</f>
        <v>2</v>
      </c>
      <c r="T9" t="str">
        <f>_xlfn.XLOOKUP($A9,Matr_Employes,Employés!G:G,,0)</f>
        <v>senior</v>
      </c>
    </row>
    <row r="10" spans="1:20" x14ac:dyDescent="0.2">
      <c r="A10" s="12">
        <v>2901</v>
      </c>
      <c r="B10" s="12">
        <v>7236</v>
      </c>
      <c r="C10" t="s">
        <v>72</v>
      </c>
      <c r="D10" s="17">
        <v>46026</v>
      </c>
      <c r="E10" s="17">
        <v>46031</v>
      </c>
      <c r="F10" t="s">
        <v>62</v>
      </c>
      <c r="G10" t="s">
        <v>73</v>
      </c>
      <c r="I10" s="14">
        <f t="shared" si="4"/>
        <v>5</v>
      </c>
      <c r="J10" s="13">
        <f>_xlfn.XLOOKUP($C10,villes[nom_commune],villes[distance_paris_km],,0)*2</f>
        <v>401.30764654622021</v>
      </c>
      <c r="K10" s="2">
        <f>_xlfn.XLOOKUP(_xlfn.XLOOKUP($C10,villes[nom_commune],villes[Population],0,0),Seuil_population,Nuitées,0,1)*I10</f>
        <v>250</v>
      </c>
      <c r="L10" s="2">
        <f t="shared" si="0"/>
        <v>700.15</v>
      </c>
      <c r="M10" s="22">
        <f t="shared" si="1"/>
        <v>1652.4383814558855</v>
      </c>
      <c r="N10" s="18">
        <f>IF(F10&lt;&gt;"voiture",_xlfn.XLOOKUP(F10,ModesTransp,EmissionCO2Moy,,0),_xlfn.XLOOKUP(G10,voitures_disponibles!$L:$L,voitures_disponibles!$K:$K,,0))/1000*J10</f>
        <v>65.413146387033891</v>
      </c>
      <c r="O10" t="str">
        <f t="shared" si="2"/>
        <v>Alpha</v>
      </c>
      <c r="P10" t="str">
        <f t="shared" si="3"/>
        <v>CRM</v>
      </c>
      <c r="Q10" t="str">
        <f>_xlfn.XLOOKUP($A10,Matr_Employes,Employés!B:B,,0)</f>
        <v>Antoinette Gomez</v>
      </c>
      <c r="R10">
        <f ca="1">_xlfn.XLOOKUP($A10,Matr_Employes,Employés!D:D,,0)</f>
        <v>36</v>
      </c>
      <c r="S10">
        <f ca="1">_xlfn.XLOOKUP($A10,Matr_Employes,Employés!F:F,,0)</f>
        <v>5</v>
      </c>
      <c r="T10" t="str">
        <f>_xlfn.XLOOKUP($A10,Matr_Employes,Employés!G:G,,0)</f>
        <v>senior</v>
      </c>
    </row>
    <row r="11" spans="1:20" x14ac:dyDescent="0.2">
      <c r="A11" s="12">
        <v>6763</v>
      </c>
      <c r="B11" s="12">
        <v>1019</v>
      </c>
      <c r="C11" t="s">
        <v>74</v>
      </c>
      <c r="D11" s="17">
        <v>46031</v>
      </c>
      <c r="E11" s="17">
        <v>46033</v>
      </c>
      <c r="F11" t="s">
        <v>62</v>
      </c>
      <c r="G11" t="s">
        <v>63</v>
      </c>
      <c r="I11" s="14">
        <f t="shared" si="4"/>
        <v>2</v>
      </c>
      <c r="J11" s="13">
        <f>_xlfn.XLOOKUP($C11,villes[nom_commune],villes[distance_paris_km],,0)*2</f>
        <v>13.41425144304659</v>
      </c>
      <c r="K11" s="2">
        <f>_xlfn.XLOOKUP(_xlfn.XLOOKUP($C11,villes[nom_commune],villes[Population],0,0),Seuil_population,Nuitées,0,1)*I11</f>
        <v>100</v>
      </c>
      <c r="L11" s="2">
        <f t="shared" si="0"/>
        <v>120.1</v>
      </c>
      <c r="M11" s="22">
        <f t="shared" si="1"/>
        <v>243.57494002533153</v>
      </c>
      <c r="N11" s="18">
        <f>IF(F11&lt;&gt;"voiture",_xlfn.XLOOKUP(F11,ModesTransp,EmissionCO2Moy,,0),_xlfn.XLOOKUP(G11,voitures_disponibles!$L:$L,voitures_disponibles!$K:$K,,0))/1000*J11</f>
        <v>3.9706184271417904</v>
      </c>
      <c r="O11" t="str">
        <f t="shared" si="2"/>
        <v>ARGO</v>
      </c>
      <c r="P11" t="str">
        <f t="shared" si="3"/>
        <v>logistique</v>
      </c>
      <c r="Q11" t="str">
        <f>_xlfn.XLOOKUP($A11,Matr_Employes,Employés!B:B,,0)</f>
        <v>Édith Michaud</v>
      </c>
      <c r="R11">
        <f ca="1">_xlfn.XLOOKUP($A11,Matr_Employes,Employés!D:D,,0)</f>
        <v>29</v>
      </c>
      <c r="S11">
        <f ca="1">_xlfn.XLOOKUP($A11,Matr_Employes,Employés!F:F,,0)</f>
        <v>3</v>
      </c>
      <c r="T11" t="str">
        <f>_xlfn.XLOOKUP($A11,Matr_Employes,Employés!G:G,,0)</f>
        <v>junior</v>
      </c>
    </row>
    <row r="12" spans="1:20" x14ac:dyDescent="0.2">
      <c r="A12" s="12">
        <v>7152</v>
      </c>
      <c r="B12" s="12">
        <v>9474</v>
      </c>
      <c r="C12" t="s">
        <v>75</v>
      </c>
      <c r="D12" s="17">
        <v>46035</v>
      </c>
      <c r="E12" s="17">
        <v>46038</v>
      </c>
      <c r="F12" t="s">
        <v>58</v>
      </c>
      <c r="H12" s="2">
        <v>5</v>
      </c>
      <c r="I12" s="14">
        <f t="shared" si="4"/>
        <v>3</v>
      </c>
      <c r="J12" s="13">
        <f>_xlfn.XLOOKUP($C12,villes[nom_commune],villes[distance_paris_km],,0)*2</f>
        <v>28.398104953178237</v>
      </c>
      <c r="K12" s="2">
        <f>_xlfn.XLOOKUP(_xlfn.XLOOKUP($C12,villes[nom_commune],villes[Population],0,0),Seuil_population,Nuitées,0,1)*I12</f>
        <v>150</v>
      </c>
      <c r="L12" s="2">
        <f t="shared" si="0"/>
        <v>199.20000000000002</v>
      </c>
      <c r="M12" s="22">
        <f t="shared" si="1"/>
        <v>354.20000000000005</v>
      </c>
      <c r="N12" s="18">
        <f>IF(F12&lt;&gt;"voiture",_xlfn.XLOOKUP(F12,ModesTransp,EmissionCO2Moy,,0),_xlfn.XLOOKUP(G12,voitures_disponibles!$L:$L,voitures_disponibles!$K:$K,,0))/1000*J12</f>
        <v>5.6796209906356476E-2</v>
      </c>
      <c r="O12" t="str">
        <f t="shared" si="2"/>
        <v>NextGen</v>
      </c>
      <c r="P12" t="str">
        <f t="shared" si="3"/>
        <v>transformation digitale</v>
      </c>
      <c r="Q12" t="str">
        <f>_xlfn.XLOOKUP($A12,Matr_Employes,Employés!B:B,,0)</f>
        <v>Agnès-Julie Lopes</v>
      </c>
      <c r="R12">
        <f ca="1">_xlfn.XLOOKUP($A12,Matr_Employes,Employés!D:D,,0)</f>
        <v>29</v>
      </c>
      <c r="S12">
        <f ca="1">_xlfn.XLOOKUP($A12,Matr_Employes,Employés!F:F,,0)</f>
        <v>1</v>
      </c>
      <c r="T12" t="str">
        <f>_xlfn.XLOOKUP($A12,Matr_Employes,Employés!G:G,,0)</f>
        <v>junior</v>
      </c>
    </row>
    <row r="13" spans="1:20" x14ac:dyDescent="0.2">
      <c r="A13" s="12">
        <v>2901</v>
      </c>
      <c r="B13" s="12">
        <v>7236</v>
      </c>
      <c r="C13" t="s">
        <v>76</v>
      </c>
      <c r="D13" s="17">
        <v>46049</v>
      </c>
      <c r="E13" s="17">
        <v>46051</v>
      </c>
      <c r="F13" t="s">
        <v>58</v>
      </c>
      <c r="H13" s="2">
        <v>172.2</v>
      </c>
      <c r="I13" s="14">
        <f t="shared" si="4"/>
        <v>2</v>
      </c>
      <c r="J13" s="13">
        <f>_xlfn.XLOOKUP($C13,villes[nom_commune],villes[distance_paris_km],,0)*2</f>
        <v>1373.4564493751479</v>
      </c>
      <c r="K13" s="2">
        <f>_xlfn.XLOOKUP(_xlfn.XLOOKUP($C13,villes[nom_commune],villes[Population],0,0),Seuil_population,Nuitées,0,1)*I13</f>
        <v>150</v>
      </c>
      <c r="L13" s="2">
        <f t="shared" si="0"/>
        <v>280.06</v>
      </c>
      <c r="M13" s="22">
        <f t="shared" si="1"/>
        <v>602.26</v>
      </c>
      <c r="N13" s="18">
        <f>IF(F13&lt;&gt;"voiture",_xlfn.XLOOKUP(F13,ModesTransp,EmissionCO2Moy,,0),_xlfn.XLOOKUP(G13,voitures_disponibles!$L:$L,voitures_disponibles!$K:$K,,0))/1000*J13</f>
        <v>2.746912898750296</v>
      </c>
      <c r="O13" t="str">
        <f t="shared" si="2"/>
        <v>Alpha</v>
      </c>
      <c r="P13" t="str">
        <f t="shared" si="3"/>
        <v>CRM</v>
      </c>
      <c r="Q13" t="str">
        <f>_xlfn.XLOOKUP($A13,Matr_Employes,Employés!B:B,,0)</f>
        <v>Antoinette Gomez</v>
      </c>
      <c r="R13">
        <f ca="1">_xlfn.XLOOKUP($A13,Matr_Employes,Employés!D:D,,0)</f>
        <v>36</v>
      </c>
      <c r="S13">
        <f ca="1">_xlfn.XLOOKUP($A13,Matr_Employes,Employés!F:F,,0)</f>
        <v>5</v>
      </c>
      <c r="T13" t="str">
        <f>_xlfn.XLOOKUP($A13,Matr_Employes,Employés!G:G,,0)</f>
        <v>senior</v>
      </c>
    </row>
    <row r="14" spans="1:20" x14ac:dyDescent="0.2">
      <c r="A14" s="12">
        <v>4029</v>
      </c>
      <c r="B14" s="12">
        <v>9247</v>
      </c>
      <c r="C14" t="s">
        <v>77</v>
      </c>
      <c r="D14" s="17">
        <v>46053</v>
      </c>
      <c r="E14" s="17">
        <v>46060</v>
      </c>
      <c r="F14" t="s">
        <v>62</v>
      </c>
      <c r="G14" t="s">
        <v>78</v>
      </c>
      <c r="I14" s="14">
        <f t="shared" si="4"/>
        <v>7</v>
      </c>
      <c r="J14" s="13">
        <f>_xlfn.XLOOKUP($C14,villes[nom_commune],villes[distance_paris_km],,0)*2</f>
        <v>1371.1717374786563</v>
      </c>
      <c r="K14" s="2">
        <f>_xlfn.XLOOKUP(_xlfn.XLOOKUP($C14,villes[nom_commune],villes[Population],0,0),Seuil_population,Nuitées,0,1)*I14</f>
        <v>1050</v>
      </c>
      <c r="L14" s="2">
        <f t="shared" si="0"/>
        <v>404.74</v>
      </c>
      <c r="M14" s="22">
        <f t="shared" si="1"/>
        <v>3854.2905405876481</v>
      </c>
      <c r="N14" s="18">
        <f>IF(F14&lt;&gt;"voiture",_xlfn.XLOOKUP(F14,ModesTransp,EmissionCO2Moy,,0),_xlfn.XLOOKUP(G14,voitures_disponibles!$L:$L,voitures_disponibles!$K:$K,,0))/1000*J14</f>
        <v>245.43974100867945</v>
      </c>
      <c r="O14" t="str">
        <f t="shared" si="2"/>
        <v>E30</v>
      </c>
      <c r="P14" t="str">
        <f t="shared" si="3"/>
        <v>ERP</v>
      </c>
      <c r="Q14" t="str">
        <f>_xlfn.XLOOKUP($A14,Matr_Employes,Employés!B:B,,0)</f>
        <v>Philippe Jacquet</v>
      </c>
      <c r="R14">
        <f ca="1">_xlfn.XLOOKUP($A14,Matr_Employes,Employés!D:D,,0)</f>
        <v>26</v>
      </c>
      <c r="S14">
        <f ca="1">_xlfn.XLOOKUP($A14,Matr_Employes,Employés!F:F,,0)</f>
        <v>3</v>
      </c>
      <c r="T14" t="str">
        <f>_xlfn.XLOOKUP($A14,Matr_Employes,Employés!G:G,,0)</f>
        <v>junior</v>
      </c>
    </row>
    <row r="15" spans="1:20" x14ac:dyDescent="0.2">
      <c r="A15" s="12">
        <v>3751</v>
      </c>
      <c r="B15" s="12">
        <v>2042</v>
      </c>
      <c r="C15" t="s">
        <v>79</v>
      </c>
      <c r="D15" s="17">
        <v>46075</v>
      </c>
      <c r="E15" s="17">
        <v>46079</v>
      </c>
      <c r="F15" t="s">
        <v>62</v>
      </c>
      <c r="G15" t="s">
        <v>80</v>
      </c>
      <c r="I15" s="14">
        <f t="shared" si="4"/>
        <v>4</v>
      </c>
      <c r="J15" s="13">
        <f>_xlfn.XLOOKUP($C15,villes[nom_commune],villes[distance_paris_km],,0)*2</f>
        <v>787.95589187721032</v>
      </c>
      <c r="K15" s="2">
        <f>_xlfn.XLOOKUP(_xlfn.XLOOKUP($C15,villes[nom_commune],villes[Population],0,0),Seuil_population,Nuitées,0,1)*I15</f>
        <v>800</v>
      </c>
      <c r="L15" s="2">
        <f t="shared" si="0"/>
        <v>436.2</v>
      </c>
      <c r="M15" s="22">
        <f t="shared" si="1"/>
        <v>2615.1228107851184</v>
      </c>
      <c r="N15" s="18">
        <f>IF(F15&lt;&gt;"voiture",_xlfn.XLOOKUP(F15,ModesTransp,EmissionCO2Moy,,0),_xlfn.XLOOKUP(G15,voitures_disponibles!$L:$L,voitures_disponibles!$K:$K,,0))/1000*J15</f>
        <v>86.67514810649314</v>
      </c>
      <c r="O15" t="str">
        <f t="shared" si="2"/>
        <v>Optimus</v>
      </c>
      <c r="P15" t="str">
        <f t="shared" si="3"/>
        <v>finance</v>
      </c>
      <c r="Q15" t="str">
        <f>_xlfn.XLOOKUP($A15,Matr_Employes,Employés!B:B,,0)</f>
        <v>Michèle de la Bonneau</v>
      </c>
      <c r="R15">
        <f ca="1">_xlfn.XLOOKUP($A15,Matr_Employes,Employés!D:D,,0)</f>
        <v>41</v>
      </c>
      <c r="S15">
        <f ca="1">_xlfn.XLOOKUP($A15,Matr_Employes,Employés!F:F,,0)</f>
        <v>2</v>
      </c>
      <c r="T15" t="str">
        <f>_xlfn.XLOOKUP($A15,Matr_Employes,Employés!G:G,,0)</f>
        <v>senior</v>
      </c>
    </row>
    <row r="16" spans="1:20" x14ac:dyDescent="0.2">
      <c r="A16" s="12">
        <v>3751</v>
      </c>
      <c r="B16" s="12">
        <v>2042</v>
      </c>
      <c r="C16" t="s">
        <v>59</v>
      </c>
      <c r="D16" s="17">
        <v>46080</v>
      </c>
      <c r="E16" s="17">
        <v>46087</v>
      </c>
      <c r="F16" t="s">
        <v>60</v>
      </c>
      <c r="H16" s="2">
        <v>257</v>
      </c>
      <c r="I16" s="14">
        <f t="shared" si="4"/>
        <v>7</v>
      </c>
      <c r="J16" s="13">
        <f>_xlfn.XLOOKUP($C16,villes[nom_commune],villes[distance_paris_km],,0)*2</f>
        <v>1383.9078713499114</v>
      </c>
      <c r="K16" s="2">
        <f>_xlfn.XLOOKUP(_xlfn.XLOOKUP($C16,villes[nom_commune],villes[Population],0,0),Seuil_population,Nuitées,0,1)*I16</f>
        <v>350</v>
      </c>
      <c r="L16" s="2">
        <f t="shared" si="0"/>
        <v>763.35</v>
      </c>
      <c r="M16" s="22">
        <f t="shared" si="1"/>
        <v>1370.35</v>
      </c>
      <c r="N16" s="18">
        <f>IF(F16&lt;&gt;"voiture",_xlfn.XLOOKUP(F16,ModesTransp,EmissionCO2Moy,,0),_xlfn.XLOOKUP(G16,voitures_disponibles!$L:$L,voitures_disponibles!$K:$K,,0))/1000*J16</f>
        <v>138.39078713499114</v>
      </c>
      <c r="O16" t="str">
        <f t="shared" si="2"/>
        <v>Optimus</v>
      </c>
      <c r="P16" t="str">
        <f t="shared" si="3"/>
        <v>finance</v>
      </c>
      <c r="Q16" t="str">
        <f>_xlfn.XLOOKUP($A16,Matr_Employes,Employés!B:B,,0)</f>
        <v>Michèle de la Bonneau</v>
      </c>
      <c r="R16">
        <f ca="1">_xlfn.XLOOKUP($A16,Matr_Employes,Employés!D:D,,0)</f>
        <v>41</v>
      </c>
      <c r="S16">
        <f ca="1">_xlfn.XLOOKUP($A16,Matr_Employes,Employés!F:F,,0)</f>
        <v>2</v>
      </c>
      <c r="T16" t="str">
        <f>_xlfn.XLOOKUP($A16,Matr_Employes,Employés!G:G,,0)</f>
        <v>senior</v>
      </c>
    </row>
    <row r="17" spans="1:20" x14ac:dyDescent="0.2">
      <c r="A17" s="12">
        <v>6763</v>
      </c>
      <c r="B17" s="12">
        <v>1019</v>
      </c>
      <c r="C17" t="s">
        <v>81</v>
      </c>
      <c r="D17" s="17">
        <v>46088</v>
      </c>
      <c r="E17" s="17">
        <v>46092</v>
      </c>
      <c r="F17" t="s">
        <v>62</v>
      </c>
      <c r="G17" t="s">
        <v>80</v>
      </c>
      <c r="I17" s="14">
        <f t="shared" si="4"/>
        <v>4</v>
      </c>
      <c r="J17" s="13">
        <f>_xlfn.XLOOKUP($C17,villes[nom_commune],villes[distance_paris_km],,0)*2</f>
        <v>801.77005840342895</v>
      </c>
      <c r="K17" s="2">
        <f>_xlfn.XLOOKUP(_xlfn.XLOOKUP($C17,villes[nom_commune],villes[Population],0,0),Seuil_population,Nuitées,0,1)*I17</f>
        <v>400</v>
      </c>
      <c r="L17" s="2">
        <f t="shared" si="0"/>
        <v>240.2</v>
      </c>
      <c r="M17" s="22">
        <f t="shared" si="1"/>
        <v>2043.2976022060006</v>
      </c>
      <c r="N17" s="18">
        <f>IF(F17&lt;&gt;"voiture",_xlfn.XLOOKUP(F17,ModesTransp,EmissionCO2Moy,,0),_xlfn.XLOOKUP(G17,voitures_disponibles!$L:$L,voitures_disponibles!$K:$K,,0))/1000*J17</f>
        <v>88.194706424377188</v>
      </c>
      <c r="O17" t="str">
        <f t="shared" si="2"/>
        <v>ARGO</v>
      </c>
      <c r="P17" t="str">
        <f t="shared" si="3"/>
        <v>logistique</v>
      </c>
      <c r="Q17" t="str">
        <f>_xlfn.XLOOKUP($A17,Matr_Employes,Employés!B:B,,0)</f>
        <v>Édith Michaud</v>
      </c>
      <c r="R17">
        <f ca="1">_xlfn.XLOOKUP($A17,Matr_Employes,Employés!D:D,,0)</f>
        <v>29</v>
      </c>
      <c r="S17">
        <f ca="1">_xlfn.XLOOKUP($A17,Matr_Employes,Employés!F:F,,0)</f>
        <v>3</v>
      </c>
      <c r="T17" t="str">
        <f>_xlfn.XLOOKUP($A17,Matr_Employes,Employés!G:G,,0)</f>
        <v>junior</v>
      </c>
    </row>
    <row r="18" spans="1:20" x14ac:dyDescent="0.2">
      <c r="A18" s="12">
        <v>4029</v>
      </c>
      <c r="B18" s="12">
        <v>9247</v>
      </c>
      <c r="C18" t="s">
        <v>82</v>
      </c>
      <c r="D18" s="17">
        <v>46097</v>
      </c>
      <c r="E18" s="17">
        <v>46104</v>
      </c>
      <c r="F18" t="s">
        <v>58</v>
      </c>
      <c r="H18" s="2">
        <v>5</v>
      </c>
      <c r="I18" s="14">
        <f t="shared" si="4"/>
        <v>7</v>
      </c>
      <c r="J18" s="13">
        <f>_xlfn.XLOOKUP($C18,villes[nom_commune],villes[distance_paris_km],,0)*2</f>
        <v>20.365399926691858</v>
      </c>
      <c r="K18" s="2">
        <f>_xlfn.XLOOKUP(_xlfn.XLOOKUP($C18,villes[nom_commune],villes[Population],0,0),Seuil_population,Nuitées,0,1)*I18</f>
        <v>350</v>
      </c>
      <c r="L18" s="2">
        <f t="shared" si="0"/>
        <v>404.74</v>
      </c>
      <c r="M18" s="22">
        <f t="shared" si="1"/>
        <v>759.74</v>
      </c>
      <c r="N18" s="18">
        <f>IF(F18&lt;&gt;"voiture",_xlfn.XLOOKUP(F18,ModesTransp,EmissionCO2Moy,,0),_xlfn.XLOOKUP(G18,voitures_disponibles!$L:$L,voitures_disponibles!$K:$K,,0))/1000*J18</f>
        <v>4.0730799853383716E-2</v>
      </c>
      <c r="O18" t="str">
        <f t="shared" si="2"/>
        <v>E30</v>
      </c>
      <c r="P18" t="str">
        <f t="shared" si="3"/>
        <v>ERP</v>
      </c>
      <c r="Q18" t="str">
        <f>_xlfn.XLOOKUP($A18,Matr_Employes,Employés!B:B,,0)</f>
        <v>Philippe Jacquet</v>
      </c>
      <c r="R18">
        <f ca="1">_xlfn.XLOOKUP($A18,Matr_Employes,Employés!D:D,,0)</f>
        <v>26</v>
      </c>
      <c r="S18">
        <f ca="1">_xlfn.XLOOKUP($A18,Matr_Employes,Employés!F:F,,0)</f>
        <v>3</v>
      </c>
      <c r="T18" t="str">
        <f>_xlfn.XLOOKUP($A18,Matr_Employes,Employés!G:G,,0)</f>
        <v>junior</v>
      </c>
    </row>
    <row r="19" spans="1:20" x14ac:dyDescent="0.2">
      <c r="A19" s="12">
        <v>9564</v>
      </c>
      <c r="B19" s="12">
        <v>8519</v>
      </c>
      <c r="C19" t="s">
        <v>83</v>
      </c>
      <c r="D19" s="17">
        <v>46099</v>
      </c>
      <c r="E19" s="17">
        <v>46101</v>
      </c>
      <c r="F19" t="s">
        <v>58</v>
      </c>
      <c r="H19" s="2">
        <v>124</v>
      </c>
      <c r="I19" s="14">
        <f t="shared" si="4"/>
        <v>2</v>
      </c>
      <c r="J19" s="13">
        <f>_xlfn.XLOOKUP($C19,villes[nom_commune],villes[distance_paris_km],,0)*2</f>
        <v>1161.0252128104009</v>
      </c>
      <c r="K19" s="2">
        <f>_xlfn.XLOOKUP(_xlfn.XLOOKUP($C19,villes[nom_commune],villes[Population],0,0),Seuil_population,Nuitées,0,1)*I19</f>
        <v>150</v>
      </c>
      <c r="L19" s="2">
        <f t="shared" si="0"/>
        <v>280.58</v>
      </c>
      <c r="M19" s="22">
        <f t="shared" si="1"/>
        <v>554.57999999999993</v>
      </c>
      <c r="N19" s="18">
        <f>IF(F19&lt;&gt;"voiture",_xlfn.XLOOKUP(F19,ModesTransp,EmissionCO2Moy,,0),_xlfn.XLOOKUP(G19,voitures_disponibles!$L:$L,voitures_disponibles!$K:$K,,0))/1000*J19</f>
        <v>2.3220504256208021</v>
      </c>
      <c r="O19" t="str">
        <f t="shared" si="2"/>
        <v>Infra2</v>
      </c>
      <c r="P19" t="str">
        <f t="shared" si="3"/>
        <v>data science</v>
      </c>
      <c r="Q19" t="str">
        <f>_xlfn.XLOOKUP($A19,Matr_Employes,Employés!B:B,,0)</f>
        <v>Robert Grégoire-Masse</v>
      </c>
      <c r="R19">
        <f ca="1">_xlfn.XLOOKUP($A19,Matr_Employes,Employés!D:D,,0)</f>
        <v>41</v>
      </c>
      <c r="S19">
        <f ca="1">_xlfn.XLOOKUP($A19,Matr_Employes,Employés!F:F,,0)</f>
        <v>2</v>
      </c>
      <c r="T19" t="str">
        <f>_xlfn.XLOOKUP($A19,Matr_Employes,Employés!G:G,,0)</f>
        <v>senior</v>
      </c>
    </row>
    <row r="20" spans="1:20" x14ac:dyDescent="0.2">
      <c r="A20" s="12">
        <v>2901</v>
      </c>
      <c r="B20" s="12">
        <v>7236</v>
      </c>
      <c r="C20" t="s">
        <v>82</v>
      </c>
      <c r="D20" s="17">
        <v>46119</v>
      </c>
      <c r="E20" s="17">
        <v>46126</v>
      </c>
      <c r="F20" t="s">
        <v>62</v>
      </c>
      <c r="G20" t="s">
        <v>84</v>
      </c>
      <c r="I20" s="14">
        <f t="shared" si="4"/>
        <v>7</v>
      </c>
      <c r="J20" s="13">
        <f>_xlfn.XLOOKUP($C20,villes[nom_commune],villes[distance_paris_km],,0)*2</f>
        <v>20.365399926691858</v>
      </c>
      <c r="K20" s="2">
        <f>_xlfn.XLOOKUP(_xlfn.XLOOKUP($C20,villes[nom_commune],villes[Population],0,0),Seuil_population,Nuitées,0,1)*I20</f>
        <v>350</v>
      </c>
      <c r="L20" s="2">
        <f t="shared" si="0"/>
        <v>980.21</v>
      </c>
      <c r="M20" s="22">
        <f t="shared" si="1"/>
        <v>1365.8494498717107</v>
      </c>
      <c r="N20" s="18">
        <f>IF(F20&lt;&gt;"voiture",_xlfn.XLOOKUP(F20,ModesTransp,EmissionCO2Moy,,0),_xlfn.XLOOKUP(G20,voitures_disponibles!$L:$L,voitures_disponibles!$K:$K,,0))/1000*J20</f>
        <v>2.097636192449261</v>
      </c>
      <c r="O20" t="str">
        <f t="shared" si="2"/>
        <v>Alpha</v>
      </c>
      <c r="P20" t="str">
        <f t="shared" si="3"/>
        <v>CRM</v>
      </c>
      <c r="Q20" t="str">
        <f>_xlfn.XLOOKUP($A20,Matr_Employes,Employés!B:B,,0)</f>
        <v>Antoinette Gomez</v>
      </c>
      <c r="R20">
        <f ca="1">_xlfn.XLOOKUP($A20,Matr_Employes,Employés!D:D,,0)</f>
        <v>36</v>
      </c>
      <c r="S20">
        <f ca="1">_xlfn.XLOOKUP($A20,Matr_Employes,Employés!F:F,,0)</f>
        <v>5</v>
      </c>
      <c r="T20" t="str">
        <f>_xlfn.XLOOKUP($A20,Matr_Employes,Employés!G:G,,0)</f>
        <v>senior</v>
      </c>
    </row>
    <row r="21" spans="1:20" x14ac:dyDescent="0.2">
      <c r="A21" s="12">
        <v>9958</v>
      </c>
      <c r="B21" s="12">
        <v>8519</v>
      </c>
      <c r="C21" t="s">
        <v>85</v>
      </c>
      <c r="D21" s="17">
        <v>46121</v>
      </c>
      <c r="E21" s="17">
        <v>46127</v>
      </c>
      <c r="F21" t="s">
        <v>58</v>
      </c>
      <c r="H21" s="2">
        <v>108</v>
      </c>
      <c r="I21" s="14">
        <f t="shared" si="4"/>
        <v>6</v>
      </c>
      <c r="J21" s="13">
        <f>_xlfn.XLOOKUP($C21,villes[nom_commune],villes[distance_paris_km],,0)*2</f>
        <v>1274.7395363740186</v>
      </c>
      <c r="K21" s="2">
        <f>_xlfn.XLOOKUP(_xlfn.XLOOKUP($C21,villes[nom_commune],villes[Population],0,0),Seuil_population,Nuitées,0,1)*I21</f>
        <v>450</v>
      </c>
      <c r="L21" s="2">
        <f t="shared" si="0"/>
        <v>335.21999999999997</v>
      </c>
      <c r="M21" s="22">
        <f t="shared" si="1"/>
        <v>893.22</v>
      </c>
      <c r="N21" s="18">
        <f>IF(F21&lt;&gt;"voiture",_xlfn.XLOOKUP(F21,ModesTransp,EmissionCO2Moy,,0),_xlfn.XLOOKUP(G21,voitures_disponibles!$L:$L,voitures_disponibles!$K:$K,,0))/1000*J21</f>
        <v>2.5494790727480372</v>
      </c>
      <c r="O21" t="str">
        <f t="shared" si="2"/>
        <v>Infra2</v>
      </c>
      <c r="P21" t="str">
        <f t="shared" si="3"/>
        <v>data science</v>
      </c>
      <c r="Q21" t="str">
        <f>_xlfn.XLOOKUP($A21,Matr_Employes,Employés!B:B,,0)</f>
        <v>Valérie Le Gall</v>
      </c>
      <c r="R21">
        <f ca="1">_xlfn.XLOOKUP($A21,Matr_Employes,Employés!D:D,,0)</f>
        <v>25</v>
      </c>
      <c r="S21">
        <f ca="1">_xlfn.XLOOKUP($A21,Matr_Employes,Employés!F:F,,0)</f>
        <v>2</v>
      </c>
      <c r="T21" t="str">
        <f>_xlfn.XLOOKUP($A21,Matr_Employes,Employés!G:G,,0)</f>
        <v>junior</v>
      </c>
    </row>
    <row r="22" spans="1:20" x14ac:dyDescent="0.2">
      <c r="A22" s="12">
        <v>4029</v>
      </c>
      <c r="B22" s="12">
        <v>9247</v>
      </c>
      <c r="C22" t="s">
        <v>86</v>
      </c>
      <c r="D22" s="17">
        <v>46127</v>
      </c>
      <c r="E22" s="17">
        <v>46131</v>
      </c>
      <c r="F22" t="s">
        <v>58</v>
      </c>
      <c r="H22" s="2">
        <v>47</v>
      </c>
      <c r="I22" s="14">
        <f t="shared" si="4"/>
        <v>4</v>
      </c>
      <c r="J22" s="13">
        <f>_xlfn.XLOOKUP($C22,villes[nom_commune],villes[distance_paris_km],,0)*2</f>
        <v>529.19819952002911</v>
      </c>
      <c r="K22" s="2">
        <f>_xlfn.XLOOKUP(_xlfn.XLOOKUP($C22,villes[nom_commune],villes[Population],0,0),Seuil_population,Nuitées,0,1)*I22</f>
        <v>400</v>
      </c>
      <c r="L22" s="2">
        <f t="shared" si="0"/>
        <v>231.28</v>
      </c>
      <c r="M22" s="22">
        <f t="shared" si="1"/>
        <v>678.28</v>
      </c>
      <c r="N22" s="18">
        <f>IF(F22&lt;&gt;"voiture",_xlfn.XLOOKUP(F22,ModesTransp,EmissionCO2Moy,,0),_xlfn.XLOOKUP(G22,voitures_disponibles!$L:$L,voitures_disponibles!$K:$K,,0))/1000*J22</f>
        <v>1.0583963990400582</v>
      </c>
      <c r="O22" t="str">
        <f t="shared" si="2"/>
        <v>E30</v>
      </c>
      <c r="P22" t="str">
        <f t="shared" si="3"/>
        <v>ERP</v>
      </c>
      <c r="Q22" t="str">
        <f>_xlfn.XLOOKUP($A22,Matr_Employes,Employés!B:B,,0)</f>
        <v>Philippe Jacquet</v>
      </c>
      <c r="R22">
        <f ca="1">_xlfn.XLOOKUP($A22,Matr_Employes,Employés!D:D,,0)</f>
        <v>26</v>
      </c>
      <c r="S22">
        <f ca="1">_xlfn.XLOOKUP($A22,Matr_Employes,Employés!F:F,,0)</f>
        <v>3</v>
      </c>
      <c r="T22" t="str">
        <f>_xlfn.XLOOKUP($A22,Matr_Employes,Employés!G:G,,0)</f>
        <v>junior</v>
      </c>
    </row>
    <row r="23" spans="1:20" x14ac:dyDescent="0.2">
      <c r="A23" s="12">
        <v>7152</v>
      </c>
      <c r="B23" s="12">
        <v>9474</v>
      </c>
      <c r="C23" t="s">
        <v>57</v>
      </c>
      <c r="D23" s="17">
        <v>46151</v>
      </c>
      <c r="E23" s="17">
        <v>46160</v>
      </c>
      <c r="F23" t="s">
        <v>60</v>
      </c>
      <c r="H23" s="2">
        <v>244</v>
      </c>
      <c r="I23" s="14">
        <f t="shared" si="4"/>
        <v>9</v>
      </c>
      <c r="J23" s="13">
        <f>_xlfn.XLOOKUP($C23,villes[nom_commune],villes[distance_paris_km],,0)*2</f>
        <v>1014.985612721831</v>
      </c>
      <c r="K23" s="2">
        <f>_xlfn.XLOOKUP(_xlfn.XLOOKUP($C23,villes[nom_commune],villes[Population],0,0),Seuil_population,Nuitées,0,1)*I23</f>
        <v>450</v>
      </c>
      <c r="L23" s="2">
        <f t="shared" si="0"/>
        <v>597.6</v>
      </c>
      <c r="M23" s="22">
        <f t="shared" si="1"/>
        <v>1291.5999999999999</v>
      </c>
      <c r="N23" s="18">
        <f>IF(F23&lt;&gt;"voiture",_xlfn.XLOOKUP(F23,ModesTransp,EmissionCO2Moy,,0),_xlfn.XLOOKUP(G23,voitures_disponibles!$L:$L,voitures_disponibles!$K:$K,,0))/1000*J23</f>
        <v>101.49856127218311</v>
      </c>
      <c r="O23" t="str">
        <f t="shared" si="2"/>
        <v>NextGen</v>
      </c>
      <c r="P23" t="str">
        <f t="shared" si="3"/>
        <v>transformation digitale</v>
      </c>
      <c r="Q23" t="str">
        <f>_xlfn.XLOOKUP($A23,Matr_Employes,Employés!B:B,,0)</f>
        <v>Agnès-Julie Lopes</v>
      </c>
      <c r="R23">
        <f ca="1">_xlfn.XLOOKUP($A23,Matr_Employes,Employés!D:D,,0)</f>
        <v>29</v>
      </c>
      <c r="S23">
        <f ca="1">_xlfn.XLOOKUP($A23,Matr_Employes,Employés!F:F,,0)</f>
        <v>1</v>
      </c>
      <c r="T23" t="str">
        <f>_xlfn.XLOOKUP($A23,Matr_Employes,Employés!G:G,,0)</f>
        <v>junior</v>
      </c>
    </row>
    <row r="24" spans="1:20" x14ac:dyDescent="0.2">
      <c r="A24" s="12">
        <v>6763</v>
      </c>
      <c r="B24" s="12">
        <v>1019</v>
      </c>
      <c r="C24" t="s">
        <v>87</v>
      </c>
      <c r="D24" s="17">
        <v>46169</v>
      </c>
      <c r="E24" s="17">
        <v>46171</v>
      </c>
      <c r="F24" t="s">
        <v>62</v>
      </c>
      <c r="G24" t="s">
        <v>80</v>
      </c>
      <c r="I24" s="14">
        <f t="shared" si="4"/>
        <v>2</v>
      </c>
      <c r="J24" s="13">
        <f>_xlfn.XLOOKUP($C24,villes[nom_commune],villes[distance_paris_km],,0)*2</f>
        <v>616.97040295737861</v>
      </c>
      <c r="K24" s="2">
        <f>_xlfn.XLOOKUP(_xlfn.XLOOKUP($C24,villes[nom_commune],villes[Population],0,0),Seuil_population,Nuitées,0,1)*I24</f>
        <v>200</v>
      </c>
      <c r="L24" s="2">
        <f t="shared" si="0"/>
        <v>120.1</v>
      </c>
      <c r="M24" s="22">
        <f t="shared" si="1"/>
        <v>1399.7982051754125</v>
      </c>
      <c r="N24" s="18">
        <f>IF(F24&lt;&gt;"voiture",_xlfn.XLOOKUP(F24,ModesTransp,EmissionCO2Moy,,0),_xlfn.XLOOKUP(G24,voitures_disponibles!$L:$L,voitures_disponibles!$K:$K,,0))/1000*J24</f>
        <v>67.866744325311643</v>
      </c>
      <c r="O24" t="str">
        <f t="shared" si="2"/>
        <v>ARGO</v>
      </c>
      <c r="P24" t="str">
        <f t="shared" si="3"/>
        <v>logistique</v>
      </c>
      <c r="Q24" t="str">
        <f>_xlfn.XLOOKUP($A24,Matr_Employes,Employés!B:B,,0)</f>
        <v>Édith Michaud</v>
      </c>
      <c r="R24">
        <f ca="1">_xlfn.XLOOKUP($A24,Matr_Employes,Employés!D:D,,0)</f>
        <v>29</v>
      </c>
      <c r="S24">
        <f ca="1">_xlfn.XLOOKUP($A24,Matr_Employes,Employés!F:F,,0)</f>
        <v>3</v>
      </c>
      <c r="T24" t="str">
        <f>_xlfn.XLOOKUP($A24,Matr_Employes,Employés!G:G,,0)</f>
        <v>junior</v>
      </c>
    </row>
    <row r="25" spans="1:20" x14ac:dyDescent="0.2">
      <c r="A25" s="12">
        <v>9393</v>
      </c>
      <c r="B25" s="12">
        <v>1934</v>
      </c>
      <c r="C25" t="s">
        <v>57</v>
      </c>
      <c r="D25" s="17">
        <v>46183</v>
      </c>
      <c r="E25" s="17">
        <v>46187</v>
      </c>
      <c r="F25" t="s">
        <v>62</v>
      </c>
      <c r="G25" t="s">
        <v>88</v>
      </c>
      <c r="I25" s="14">
        <f t="shared" si="4"/>
        <v>4</v>
      </c>
      <c r="J25" s="13">
        <f>_xlfn.XLOOKUP($C25,villes[nom_commune],villes[distance_paris_km],,0)*2</f>
        <v>1014.985612721831</v>
      </c>
      <c r="K25" s="2">
        <f>_xlfn.XLOOKUP(_xlfn.XLOOKUP($C25,villes[nom_commune],villes[Population],0,0),Seuil_population,Nuitées,0,1)*I25</f>
        <v>200</v>
      </c>
      <c r="L25" s="2">
        <f t="shared" si="0"/>
        <v>268.32</v>
      </c>
      <c r="M25" s="22">
        <f t="shared" si="1"/>
        <v>2244.5448222632044</v>
      </c>
      <c r="N25" s="18">
        <f>IF(F25&lt;&gt;"voiture",_xlfn.XLOOKUP(F25,ModesTransp,EmissionCO2Moy,,0),_xlfn.XLOOKUP(G25,voitures_disponibles!$L:$L,voitures_disponibles!$K:$K,,0))/1000*J25</f>
        <v>240.55159021507393</v>
      </c>
      <c r="O25" t="str">
        <f t="shared" si="2"/>
        <v>Gamma</v>
      </c>
      <c r="P25" t="str">
        <f t="shared" si="3"/>
        <v>data science</v>
      </c>
      <c r="Q25" t="str">
        <f>_xlfn.XLOOKUP($A25,Matr_Employes,Employés!B:B,,0)</f>
        <v>Céline Marques</v>
      </c>
      <c r="R25">
        <f ca="1">_xlfn.XLOOKUP($A25,Matr_Employes,Employés!D:D,,0)</f>
        <v>28</v>
      </c>
      <c r="S25">
        <f ca="1">_xlfn.XLOOKUP($A25,Matr_Employes,Employés!F:F,,0)</f>
        <v>1</v>
      </c>
      <c r="T25" t="str">
        <f>_xlfn.XLOOKUP($A25,Matr_Employes,Employés!G:G,,0)</f>
        <v>junior</v>
      </c>
    </row>
    <row r="26" spans="1:20" x14ac:dyDescent="0.2">
      <c r="A26" s="12">
        <v>9958</v>
      </c>
      <c r="B26" s="12">
        <v>8519</v>
      </c>
      <c r="C26" t="s">
        <v>89</v>
      </c>
      <c r="D26" s="17">
        <v>46211</v>
      </c>
      <c r="E26" s="17">
        <v>46214</v>
      </c>
      <c r="F26" t="s">
        <v>62</v>
      </c>
      <c r="G26" t="s">
        <v>80</v>
      </c>
      <c r="I26" s="14">
        <f t="shared" si="4"/>
        <v>3</v>
      </c>
      <c r="J26" s="13">
        <f>_xlfn.XLOOKUP($C26,villes[nom_commune],villes[distance_paris_km],,0)*2</f>
        <v>132.76893959226709</v>
      </c>
      <c r="K26" s="2">
        <f>_xlfn.XLOOKUP(_xlfn.XLOOKUP($C26,villes[nom_commune],villes[Population],0,0),Seuil_population,Nuitées,0,1)*I26</f>
        <v>150</v>
      </c>
      <c r="L26" s="2">
        <f t="shared" si="0"/>
        <v>167.60999999999999</v>
      </c>
      <c r="M26" s="22">
        <f t="shared" si="1"/>
        <v>549.95564428646742</v>
      </c>
      <c r="N26" s="18">
        <f>IF(F26&lt;&gt;"voiture",_xlfn.XLOOKUP(F26,ModesTransp,EmissionCO2Moy,,0),_xlfn.XLOOKUP(G26,voitures_disponibles!$L:$L,voitures_disponibles!$K:$K,,0))/1000*J26</f>
        <v>14.60458335514938</v>
      </c>
      <c r="O26" t="str">
        <f t="shared" si="2"/>
        <v>Infra2</v>
      </c>
      <c r="P26" t="str">
        <f t="shared" si="3"/>
        <v>data science</v>
      </c>
      <c r="Q26" t="str">
        <f>_xlfn.XLOOKUP($A26,Matr_Employes,Employés!B:B,,0)</f>
        <v>Valérie Le Gall</v>
      </c>
      <c r="R26">
        <f ca="1">_xlfn.XLOOKUP($A26,Matr_Employes,Employés!D:D,,0)</f>
        <v>25</v>
      </c>
      <c r="S26">
        <f ca="1">_xlfn.XLOOKUP($A26,Matr_Employes,Employés!F:F,,0)</f>
        <v>2</v>
      </c>
      <c r="T26" t="str">
        <f>_xlfn.XLOOKUP($A26,Matr_Employes,Employés!G:G,,0)</f>
        <v>junior</v>
      </c>
    </row>
    <row r="27" spans="1:20" x14ac:dyDescent="0.2">
      <c r="A27" s="12">
        <v>7178</v>
      </c>
      <c r="B27" s="12">
        <v>1171</v>
      </c>
      <c r="C27" t="s">
        <v>90</v>
      </c>
      <c r="D27" s="17">
        <v>46214</v>
      </c>
      <c r="E27" s="17">
        <v>46218</v>
      </c>
      <c r="F27" t="s">
        <v>62</v>
      </c>
      <c r="G27" t="s">
        <v>68</v>
      </c>
      <c r="I27" s="14">
        <f t="shared" si="4"/>
        <v>4</v>
      </c>
      <c r="J27" s="13">
        <f>_xlfn.XLOOKUP($C27,villes[nom_commune],villes[distance_paris_km],,0)*2</f>
        <v>1086.407564975822</v>
      </c>
      <c r="K27" s="2">
        <f>_xlfn.XLOOKUP(_xlfn.XLOOKUP($C27,villes[nom_commune],villes[Population],0,0),Seuil_population,Nuitées,0,1)*I27</f>
        <v>200</v>
      </c>
      <c r="L27" s="2">
        <f t="shared" si="0"/>
        <v>372.24</v>
      </c>
      <c r="M27" s="22">
        <f t="shared" si="1"/>
        <v>2473.4532387076888</v>
      </c>
      <c r="N27" s="18">
        <f>IF(F27&lt;&gt;"voiture",_xlfn.XLOOKUP(F27,ModesTransp,EmissionCO2Moy,,0),_xlfn.XLOOKUP(G27,voitures_disponibles!$L:$L,voitures_disponibles!$K:$K,,0))/1000*J27</f>
        <v>168.39317257125239</v>
      </c>
      <c r="O27" t="str">
        <f t="shared" si="2"/>
        <v>CLAIREIndigo</v>
      </c>
      <c r="P27" t="str">
        <f t="shared" si="3"/>
        <v>finance</v>
      </c>
      <c r="Q27" t="str">
        <f>_xlfn.XLOOKUP($A27,Matr_Employes,Employés!B:B,,0)</f>
        <v>Océane Petitjean-Delaunay</v>
      </c>
      <c r="R27">
        <f ca="1">_xlfn.XLOOKUP($A27,Matr_Employes,Employés!D:D,,0)</f>
        <v>32</v>
      </c>
      <c r="S27">
        <f ca="1">_xlfn.XLOOKUP($A27,Matr_Employes,Employés!F:F,,0)</f>
        <v>4</v>
      </c>
      <c r="T27" t="str">
        <f>_xlfn.XLOOKUP($A27,Matr_Employes,Employés!G:G,,0)</f>
        <v>junior</v>
      </c>
    </row>
    <row r="28" spans="1:20" x14ac:dyDescent="0.2">
      <c r="A28" s="12">
        <v>9958</v>
      </c>
      <c r="B28" s="12">
        <v>8519</v>
      </c>
      <c r="C28" t="s">
        <v>66</v>
      </c>
      <c r="D28" s="17">
        <v>46216</v>
      </c>
      <c r="E28" s="17">
        <v>46219</v>
      </c>
      <c r="F28" t="s">
        <v>58</v>
      </c>
      <c r="H28" s="2">
        <v>5</v>
      </c>
      <c r="I28" s="14">
        <f t="shared" si="4"/>
        <v>3</v>
      </c>
      <c r="J28" s="13">
        <f>_xlfn.XLOOKUP($C28,villes[nom_commune],villes[distance_paris_km],,0)*2</f>
        <v>16.416834937395087</v>
      </c>
      <c r="K28" s="2">
        <f>_xlfn.XLOOKUP(_xlfn.XLOOKUP($C28,villes[nom_commune],villes[Population],0,0),Seuil_population,Nuitées,0,1)*I28</f>
        <v>225</v>
      </c>
      <c r="L28" s="2">
        <f t="shared" si="0"/>
        <v>167.60999999999999</v>
      </c>
      <c r="M28" s="22">
        <f t="shared" si="1"/>
        <v>397.61</v>
      </c>
      <c r="N28" s="18">
        <f>IF(F28&lt;&gt;"voiture",_xlfn.XLOOKUP(F28,ModesTransp,EmissionCO2Moy,,0),_xlfn.XLOOKUP(G28,voitures_disponibles!$L:$L,voitures_disponibles!$K:$K,,0))/1000*J28</f>
        <v>3.2833669874790174E-2</v>
      </c>
      <c r="O28" t="str">
        <f t="shared" si="2"/>
        <v>Infra2</v>
      </c>
      <c r="P28" t="str">
        <f t="shared" si="3"/>
        <v>data science</v>
      </c>
      <c r="Q28" t="str">
        <f>_xlfn.XLOOKUP($A28,Matr_Employes,Employés!B:B,,0)</f>
        <v>Valérie Le Gall</v>
      </c>
      <c r="R28">
        <f ca="1">_xlfn.XLOOKUP($A28,Matr_Employes,Employés!D:D,,0)</f>
        <v>25</v>
      </c>
      <c r="S28">
        <f ca="1">_xlfn.XLOOKUP($A28,Matr_Employes,Employés!F:F,,0)</f>
        <v>2</v>
      </c>
      <c r="T28" t="str">
        <f>_xlfn.XLOOKUP($A28,Matr_Employes,Employés!G:G,,0)</f>
        <v>junior</v>
      </c>
    </row>
    <row r="29" spans="1:20" x14ac:dyDescent="0.2">
      <c r="A29" s="12">
        <v>9790</v>
      </c>
      <c r="B29" s="12">
        <v>9425</v>
      </c>
      <c r="C29" t="s">
        <v>91</v>
      </c>
      <c r="D29" s="17">
        <v>46222</v>
      </c>
      <c r="E29" s="17">
        <v>46227</v>
      </c>
      <c r="F29" t="s">
        <v>60</v>
      </c>
      <c r="H29" s="2">
        <v>359</v>
      </c>
      <c r="I29" s="14">
        <f t="shared" si="4"/>
        <v>5</v>
      </c>
      <c r="J29" s="13">
        <f>_xlfn.XLOOKUP($C29,villes[nom_commune],villes[distance_paris_km],,0)*2</f>
        <v>565.65078678258772</v>
      </c>
      <c r="K29" s="2">
        <f>_xlfn.XLOOKUP(_xlfn.XLOOKUP($C29,villes[nom_commune],villes[Population],0,0),Seuil_population,Nuitées,0,1)*I29</f>
        <v>375</v>
      </c>
      <c r="L29" s="2">
        <f t="shared" si="0"/>
        <v>378.5</v>
      </c>
      <c r="M29" s="22">
        <f t="shared" si="1"/>
        <v>1112.5</v>
      </c>
      <c r="N29" s="18">
        <f>IF(F29&lt;&gt;"voiture",_xlfn.XLOOKUP(F29,ModesTransp,EmissionCO2Moy,,0),_xlfn.XLOOKUP(G29,voitures_disponibles!$L:$L,voitures_disponibles!$K:$K,,0))/1000*J29</f>
        <v>56.565078678258772</v>
      </c>
      <c r="O29" t="str">
        <f t="shared" si="2"/>
        <v>Next</v>
      </c>
      <c r="P29" t="str">
        <f t="shared" si="3"/>
        <v>comptabilité</v>
      </c>
      <c r="Q29" t="str">
        <f>_xlfn.XLOOKUP($A29,Matr_Employes,Employés!B:B,,0)</f>
        <v>Gérard Chrétien du Pelletier</v>
      </c>
      <c r="R29">
        <f ca="1">_xlfn.XLOOKUP($A29,Matr_Employes,Employés!D:D,,0)</f>
        <v>26</v>
      </c>
      <c r="S29">
        <f ca="1">_xlfn.XLOOKUP($A29,Matr_Employes,Employés!F:F,,0)</f>
        <v>0</v>
      </c>
      <c r="T29" t="str">
        <f>_xlfn.XLOOKUP($A29,Matr_Employes,Employés!G:G,,0)</f>
        <v>junior</v>
      </c>
    </row>
    <row r="30" spans="1:20" x14ac:dyDescent="0.2">
      <c r="A30" s="12">
        <v>4029</v>
      </c>
      <c r="B30" s="12">
        <v>9247</v>
      </c>
      <c r="C30" t="s">
        <v>92</v>
      </c>
      <c r="D30" s="17">
        <v>46227</v>
      </c>
      <c r="E30" s="17">
        <v>46234</v>
      </c>
      <c r="F30" t="s">
        <v>58</v>
      </c>
      <c r="H30" s="2">
        <v>5</v>
      </c>
      <c r="I30" s="14">
        <f t="shared" si="4"/>
        <v>7</v>
      </c>
      <c r="J30" s="13">
        <f>_xlfn.XLOOKUP($C30,villes[nom_commune],villes[distance_paris_km],,0)*2</f>
        <v>11.430453806573089</v>
      </c>
      <c r="K30" s="2">
        <f>_xlfn.XLOOKUP(_xlfn.XLOOKUP($C30,villes[nom_commune],villes[Population],0,0),Seuil_population,Nuitées,0,1)*I30</f>
        <v>350</v>
      </c>
      <c r="L30" s="2">
        <f t="shared" si="0"/>
        <v>404.74</v>
      </c>
      <c r="M30" s="22">
        <f t="shared" si="1"/>
        <v>759.74</v>
      </c>
      <c r="N30" s="18">
        <f>IF(F30&lt;&gt;"voiture",_xlfn.XLOOKUP(F30,ModesTransp,EmissionCO2Moy,,0),_xlfn.XLOOKUP(G30,voitures_disponibles!$L:$L,voitures_disponibles!$K:$K,,0))/1000*J30</f>
        <v>2.2860907613146179E-2</v>
      </c>
      <c r="O30" t="str">
        <f t="shared" si="2"/>
        <v>E30</v>
      </c>
      <c r="P30" t="str">
        <f t="shared" si="3"/>
        <v>ERP</v>
      </c>
      <c r="Q30" t="str">
        <f>_xlfn.XLOOKUP($A30,Matr_Employes,Employés!B:B,,0)</f>
        <v>Philippe Jacquet</v>
      </c>
      <c r="R30">
        <f ca="1">_xlfn.XLOOKUP($A30,Matr_Employes,Employés!D:D,,0)</f>
        <v>26</v>
      </c>
      <c r="S30">
        <f ca="1">_xlfn.XLOOKUP($A30,Matr_Employes,Employés!F:F,,0)</f>
        <v>3</v>
      </c>
      <c r="T30" t="str">
        <f>_xlfn.XLOOKUP($A30,Matr_Employes,Employés!G:G,,0)</f>
        <v>junior</v>
      </c>
    </row>
    <row r="31" spans="1:20" x14ac:dyDescent="0.2">
      <c r="A31" s="12">
        <v>9564</v>
      </c>
      <c r="B31" s="12">
        <v>8519</v>
      </c>
      <c r="C31" t="s">
        <v>93</v>
      </c>
      <c r="D31" s="17">
        <v>46227</v>
      </c>
      <c r="E31" s="17">
        <v>46233</v>
      </c>
      <c r="F31" t="s">
        <v>62</v>
      </c>
      <c r="G31" t="s">
        <v>80</v>
      </c>
      <c r="I31" s="14">
        <f t="shared" si="4"/>
        <v>6</v>
      </c>
      <c r="J31" s="13">
        <f>_xlfn.XLOOKUP($C31,villes[nom_commune],villes[distance_paris_km],,0)*2</f>
        <v>1395.3168911564405</v>
      </c>
      <c r="K31" s="2">
        <f>_xlfn.XLOOKUP(_xlfn.XLOOKUP($C31,villes[nom_commune],villes[Population],0,0),Seuil_population,Nuitées,0,1)*I31</f>
        <v>300</v>
      </c>
      <c r="L31" s="2">
        <f t="shared" si="0"/>
        <v>841.74</v>
      </c>
      <c r="M31" s="22">
        <f t="shared" si="1"/>
        <v>3583.5445595237707</v>
      </c>
      <c r="N31" s="18">
        <f>IF(F31&lt;&gt;"voiture",_xlfn.XLOOKUP(F31,ModesTransp,EmissionCO2Moy,,0),_xlfn.XLOOKUP(G31,voitures_disponibles!$L:$L,voitures_disponibles!$K:$K,,0))/1000*J31</f>
        <v>153.48485802720845</v>
      </c>
      <c r="O31" t="str">
        <f t="shared" si="2"/>
        <v>Infra2</v>
      </c>
      <c r="P31" t="str">
        <f t="shared" si="3"/>
        <v>data science</v>
      </c>
      <c r="Q31" t="str">
        <f>_xlfn.XLOOKUP($A31,Matr_Employes,Employés!B:B,,0)</f>
        <v>Robert Grégoire-Masse</v>
      </c>
      <c r="R31">
        <f ca="1">_xlfn.XLOOKUP($A31,Matr_Employes,Employés!D:D,,0)</f>
        <v>41</v>
      </c>
      <c r="S31">
        <f ca="1">_xlfn.XLOOKUP($A31,Matr_Employes,Employés!F:F,,0)</f>
        <v>2</v>
      </c>
      <c r="T31" t="str">
        <f>_xlfn.XLOOKUP($A31,Matr_Employes,Employés!G:G,,0)</f>
        <v>senior</v>
      </c>
    </row>
    <row r="32" spans="1:20" x14ac:dyDescent="0.2">
      <c r="A32" s="12">
        <v>9393</v>
      </c>
      <c r="B32" s="12">
        <v>1934</v>
      </c>
      <c r="C32" t="s">
        <v>74</v>
      </c>
      <c r="D32" s="17">
        <v>46230</v>
      </c>
      <c r="E32" s="17">
        <v>46235</v>
      </c>
      <c r="F32" t="s">
        <v>62</v>
      </c>
      <c r="G32" t="s">
        <v>63</v>
      </c>
      <c r="I32" s="14">
        <f t="shared" si="4"/>
        <v>5</v>
      </c>
      <c r="J32" s="13">
        <f>_xlfn.XLOOKUP($C32,villes[nom_commune],villes[distance_paris_km],,0)*2</f>
        <v>13.41425144304659</v>
      </c>
      <c r="K32" s="2">
        <f>_xlfn.XLOOKUP(_xlfn.XLOOKUP($C32,villes[nom_commune],villes[Population],0,0),Seuil_population,Nuitées,0,1)*I32</f>
        <v>250</v>
      </c>
      <c r="L32" s="2">
        <f t="shared" si="0"/>
        <v>335.4</v>
      </c>
      <c r="M32" s="22">
        <f t="shared" si="1"/>
        <v>608.87494002533151</v>
      </c>
      <c r="N32" s="18">
        <f>IF(F32&lt;&gt;"voiture",_xlfn.XLOOKUP(F32,ModesTransp,EmissionCO2Moy,,0),_xlfn.XLOOKUP(G32,voitures_disponibles!$L:$L,voitures_disponibles!$K:$K,,0))/1000*J32</f>
        <v>3.9706184271417904</v>
      </c>
      <c r="O32" t="str">
        <f t="shared" si="2"/>
        <v>Gamma</v>
      </c>
      <c r="P32" t="str">
        <f t="shared" si="3"/>
        <v>data science</v>
      </c>
      <c r="Q32" t="str">
        <f>_xlfn.XLOOKUP($A32,Matr_Employes,Employés!B:B,,0)</f>
        <v>Céline Marques</v>
      </c>
      <c r="R32">
        <f ca="1">_xlfn.XLOOKUP($A32,Matr_Employes,Employés!D:D,,0)</f>
        <v>28</v>
      </c>
      <c r="S32">
        <f ca="1">_xlfn.XLOOKUP($A32,Matr_Employes,Employés!F:F,,0)</f>
        <v>1</v>
      </c>
      <c r="T32" t="str">
        <f>_xlfn.XLOOKUP($A32,Matr_Employes,Employés!G:G,,0)</f>
        <v>junior</v>
      </c>
    </row>
    <row r="33" spans="1:20" x14ac:dyDescent="0.2">
      <c r="A33" s="12">
        <v>9393</v>
      </c>
      <c r="B33" s="12">
        <v>1934</v>
      </c>
      <c r="C33" t="s">
        <v>94</v>
      </c>
      <c r="D33" s="17">
        <v>46241</v>
      </c>
      <c r="E33" s="17">
        <v>46249</v>
      </c>
      <c r="F33" t="s">
        <v>60</v>
      </c>
      <c r="H33" s="2">
        <v>299</v>
      </c>
      <c r="I33" s="14">
        <f t="shared" si="4"/>
        <v>8</v>
      </c>
      <c r="J33" s="13">
        <f>_xlfn.XLOOKUP($C33,villes[nom_commune],villes[distance_paris_km],,0)*2</f>
        <v>567.5087752446691</v>
      </c>
      <c r="K33" s="2">
        <f>_xlfn.XLOOKUP(_xlfn.XLOOKUP($C33,villes[nom_commune],villes[Population],0,0),Seuil_population,Nuitées,0,1)*I33</f>
        <v>600</v>
      </c>
      <c r="L33" s="2">
        <f t="shared" si="0"/>
        <v>536.64</v>
      </c>
      <c r="M33" s="22">
        <f t="shared" si="1"/>
        <v>1435.6399999999999</v>
      </c>
      <c r="N33" s="18">
        <f>IF(F33&lt;&gt;"voiture",_xlfn.XLOOKUP(F33,ModesTransp,EmissionCO2Moy,,0),_xlfn.XLOOKUP(G33,voitures_disponibles!$L:$L,voitures_disponibles!$K:$K,,0))/1000*J33</f>
        <v>56.750877524466915</v>
      </c>
      <c r="O33" t="str">
        <f t="shared" si="2"/>
        <v>Gamma</v>
      </c>
      <c r="P33" t="str">
        <f t="shared" si="3"/>
        <v>data science</v>
      </c>
      <c r="Q33" t="str">
        <f>_xlfn.XLOOKUP($A33,Matr_Employes,Employés!B:B,,0)</f>
        <v>Céline Marques</v>
      </c>
      <c r="R33">
        <f ca="1">_xlfn.XLOOKUP($A33,Matr_Employes,Employés!D:D,,0)</f>
        <v>28</v>
      </c>
      <c r="S33">
        <f ca="1">_xlfn.XLOOKUP($A33,Matr_Employes,Employés!F:F,,0)</f>
        <v>1</v>
      </c>
      <c r="T33" t="str">
        <f>_xlfn.XLOOKUP($A33,Matr_Employes,Employés!G:G,,0)</f>
        <v>junior</v>
      </c>
    </row>
    <row r="34" spans="1:20" x14ac:dyDescent="0.2">
      <c r="A34" s="12">
        <v>7152</v>
      </c>
      <c r="B34" s="12">
        <v>9474</v>
      </c>
      <c r="C34" t="s">
        <v>75</v>
      </c>
      <c r="D34" s="17">
        <v>46245</v>
      </c>
      <c r="E34" s="17">
        <v>46248</v>
      </c>
      <c r="F34" t="s">
        <v>58</v>
      </c>
      <c r="H34" s="2">
        <v>5</v>
      </c>
      <c r="I34" s="14">
        <f t="shared" si="4"/>
        <v>3</v>
      </c>
      <c r="J34" s="13">
        <f>_xlfn.XLOOKUP($C34,villes[nom_commune],villes[distance_paris_km],,0)*2</f>
        <v>28.398104953178237</v>
      </c>
      <c r="K34" s="2">
        <f>_xlfn.XLOOKUP(_xlfn.XLOOKUP($C34,villes[nom_commune],villes[Population],0,0),Seuil_population,Nuitées,0,1)*I34</f>
        <v>150</v>
      </c>
      <c r="L34" s="2">
        <f t="shared" si="0"/>
        <v>199.20000000000002</v>
      </c>
      <c r="M34" s="22">
        <f t="shared" si="1"/>
        <v>354.20000000000005</v>
      </c>
      <c r="N34" s="18">
        <f>IF(F34&lt;&gt;"voiture",_xlfn.XLOOKUP(F34,ModesTransp,EmissionCO2Moy,,0),_xlfn.XLOOKUP(G34,voitures_disponibles!$L:$L,voitures_disponibles!$K:$K,,0))/1000*J34</f>
        <v>5.6796209906356476E-2</v>
      </c>
      <c r="O34" t="str">
        <f t="shared" si="2"/>
        <v>NextGen</v>
      </c>
      <c r="P34" t="str">
        <f t="shared" si="3"/>
        <v>transformation digitale</v>
      </c>
      <c r="Q34" t="str">
        <f>_xlfn.XLOOKUP($A34,Matr_Employes,Employés!B:B,,0)</f>
        <v>Agnès-Julie Lopes</v>
      </c>
      <c r="R34">
        <f ca="1">_xlfn.XLOOKUP($A34,Matr_Employes,Employés!D:D,,0)</f>
        <v>29</v>
      </c>
      <c r="S34">
        <f ca="1">_xlfn.XLOOKUP($A34,Matr_Employes,Employés!F:F,,0)</f>
        <v>1</v>
      </c>
      <c r="T34" t="str">
        <f>_xlfn.XLOOKUP($A34,Matr_Employes,Employés!G:G,,0)</f>
        <v>junior</v>
      </c>
    </row>
    <row r="35" spans="1:20" x14ac:dyDescent="0.2">
      <c r="A35" s="12">
        <v>9790</v>
      </c>
      <c r="B35" s="12">
        <v>9425</v>
      </c>
      <c r="C35" t="s">
        <v>95</v>
      </c>
      <c r="D35" s="17">
        <v>46249</v>
      </c>
      <c r="E35" s="17">
        <v>46254</v>
      </c>
      <c r="F35" t="s">
        <v>60</v>
      </c>
      <c r="H35" s="2">
        <v>663</v>
      </c>
      <c r="I35" s="14">
        <f t="shared" si="4"/>
        <v>5</v>
      </c>
      <c r="J35" s="13">
        <f>_xlfn.XLOOKUP($C35,villes[nom_commune],villes[distance_paris_km],,0)*2</f>
        <v>410.92880972718422</v>
      </c>
      <c r="K35" s="2">
        <f>_xlfn.XLOOKUP(_xlfn.XLOOKUP($C35,villes[nom_commune],villes[Population],0,0),Seuil_population,Nuitées,0,1)*I35</f>
        <v>250</v>
      </c>
      <c r="L35" s="2">
        <f t="shared" si="0"/>
        <v>378.5</v>
      </c>
      <c r="M35" s="22">
        <f t="shared" si="1"/>
        <v>1291.5</v>
      </c>
      <c r="N35" s="18">
        <f>IF(F35&lt;&gt;"voiture",_xlfn.XLOOKUP(F35,ModesTransp,EmissionCO2Moy,,0),_xlfn.XLOOKUP(G35,voitures_disponibles!$L:$L,voitures_disponibles!$K:$K,,0))/1000*J35</f>
        <v>41.092880972718426</v>
      </c>
      <c r="O35" t="str">
        <f t="shared" si="2"/>
        <v>Next</v>
      </c>
      <c r="P35" t="str">
        <f t="shared" si="3"/>
        <v>comptabilité</v>
      </c>
      <c r="Q35" t="str">
        <f>_xlfn.XLOOKUP($A35,Matr_Employes,Employés!B:B,,0)</f>
        <v>Gérard Chrétien du Pelletier</v>
      </c>
      <c r="R35">
        <f ca="1">_xlfn.XLOOKUP($A35,Matr_Employes,Employés!D:D,,0)</f>
        <v>26</v>
      </c>
      <c r="S35">
        <f ca="1">_xlfn.XLOOKUP($A35,Matr_Employes,Employés!F:F,,0)</f>
        <v>0</v>
      </c>
      <c r="T35" t="str">
        <f>_xlfn.XLOOKUP($A35,Matr_Employes,Employés!G:G,,0)</f>
        <v>junior</v>
      </c>
    </row>
    <row r="36" spans="1:20" x14ac:dyDescent="0.2">
      <c r="A36" s="12">
        <v>7152</v>
      </c>
      <c r="B36" s="12">
        <v>9474</v>
      </c>
      <c r="C36" t="s">
        <v>96</v>
      </c>
      <c r="D36" s="17">
        <v>46250</v>
      </c>
      <c r="E36" s="17">
        <v>46254</v>
      </c>
      <c r="F36" t="s">
        <v>62</v>
      </c>
      <c r="G36" t="s">
        <v>68</v>
      </c>
      <c r="I36" s="14">
        <f t="shared" si="4"/>
        <v>4</v>
      </c>
      <c r="J36" s="13">
        <f>_xlfn.XLOOKUP($C36,villes[nom_commune],villes[distance_paris_km],,0)*2</f>
        <v>406.90584632466727</v>
      </c>
      <c r="K36" s="2">
        <f>_xlfn.XLOOKUP(_xlfn.XLOOKUP($C36,villes[nom_commune],villes[Population],0,0),Seuil_population,Nuitées,0,1)*I36</f>
        <v>300</v>
      </c>
      <c r="L36" s="2">
        <f t="shared" si="0"/>
        <v>265.60000000000002</v>
      </c>
      <c r="M36" s="22">
        <f t="shared" si="1"/>
        <v>1277.6852310681677</v>
      </c>
      <c r="N36" s="18">
        <f>IF(F36&lt;&gt;"voiture",_xlfn.XLOOKUP(F36,ModesTransp,EmissionCO2Moy,,0),_xlfn.XLOOKUP(G36,voitures_disponibles!$L:$L,voitures_disponibles!$K:$K,,0))/1000*J36</f>
        <v>63.070406180323424</v>
      </c>
      <c r="O36" t="str">
        <f t="shared" si="2"/>
        <v>NextGen</v>
      </c>
      <c r="P36" t="str">
        <f t="shared" si="3"/>
        <v>transformation digitale</v>
      </c>
      <c r="Q36" t="str">
        <f>_xlfn.XLOOKUP($A36,Matr_Employes,Employés!B:B,,0)</f>
        <v>Agnès-Julie Lopes</v>
      </c>
      <c r="R36">
        <f ca="1">_xlfn.XLOOKUP($A36,Matr_Employes,Employés!D:D,,0)</f>
        <v>29</v>
      </c>
      <c r="S36">
        <f ca="1">_xlfn.XLOOKUP($A36,Matr_Employes,Employés!F:F,,0)</f>
        <v>1</v>
      </c>
      <c r="T36" t="str">
        <f>_xlfn.XLOOKUP($A36,Matr_Employes,Employés!G:G,,0)</f>
        <v>junior</v>
      </c>
    </row>
    <row r="37" spans="1:20" x14ac:dyDescent="0.2">
      <c r="A37" s="12">
        <v>9393</v>
      </c>
      <c r="B37" s="12">
        <v>1934</v>
      </c>
      <c r="C37" t="s">
        <v>97</v>
      </c>
      <c r="D37" s="17">
        <v>46254</v>
      </c>
      <c r="E37" s="17">
        <v>46256</v>
      </c>
      <c r="F37" t="s">
        <v>58</v>
      </c>
      <c r="H37" s="2">
        <v>276</v>
      </c>
      <c r="I37" s="14">
        <f t="shared" si="4"/>
        <v>2</v>
      </c>
      <c r="J37" s="13">
        <f>_xlfn.XLOOKUP($C37,villes[nom_commune],villes[distance_paris_km],,0)*2</f>
        <v>1179.012942276431</v>
      </c>
      <c r="K37" s="2">
        <f>_xlfn.XLOOKUP(_xlfn.XLOOKUP($C37,villes[nom_commune],villes[Population],0,0),Seuil_population,Nuitées,0,1)*I37</f>
        <v>300</v>
      </c>
      <c r="L37" s="2">
        <f t="shared" si="0"/>
        <v>134.16</v>
      </c>
      <c r="M37" s="22">
        <f t="shared" si="1"/>
        <v>710.16</v>
      </c>
      <c r="N37" s="18">
        <f>IF(F37&lt;&gt;"voiture",_xlfn.XLOOKUP(F37,ModesTransp,EmissionCO2Moy,,0),_xlfn.XLOOKUP(G37,voitures_disponibles!$L:$L,voitures_disponibles!$K:$K,,0))/1000*J37</f>
        <v>2.3580258845528621</v>
      </c>
      <c r="O37" t="str">
        <f t="shared" si="2"/>
        <v>Gamma</v>
      </c>
      <c r="P37" t="str">
        <f t="shared" si="3"/>
        <v>data science</v>
      </c>
      <c r="Q37" t="str">
        <f>_xlfn.XLOOKUP($A37,Matr_Employes,Employés!B:B,,0)</f>
        <v>Céline Marques</v>
      </c>
      <c r="R37">
        <f ca="1">_xlfn.XLOOKUP($A37,Matr_Employes,Employés!D:D,,0)</f>
        <v>28</v>
      </c>
      <c r="S37">
        <f ca="1">_xlfn.XLOOKUP($A37,Matr_Employes,Employés!F:F,,0)</f>
        <v>1</v>
      </c>
      <c r="T37" t="str">
        <f>_xlfn.XLOOKUP($A37,Matr_Employes,Employés!G:G,,0)</f>
        <v>junior</v>
      </c>
    </row>
    <row r="38" spans="1:20" x14ac:dyDescent="0.2">
      <c r="A38" s="12">
        <v>9564</v>
      </c>
      <c r="B38" s="12">
        <v>8519</v>
      </c>
      <c r="C38" t="s">
        <v>98</v>
      </c>
      <c r="D38" s="17">
        <v>46258</v>
      </c>
      <c r="E38" s="17">
        <v>46262</v>
      </c>
      <c r="F38" t="s">
        <v>62</v>
      </c>
      <c r="G38" t="s">
        <v>88</v>
      </c>
      <c r="I38" s="14">
        <f t="shared" si="4"/>
        <v>4</v>
      </c>
      <c r="J38" s="13">
        <f>_xlfn.XLOOKUP($C38,villes[nom_commune],villes[distance_paris_km],,0)*2</f>
        <v>802.07383910513863</v>
      </c>
      <c r="K38" s="2">
        <f>_xlfn.XLOOKUP(_xlfn.XLOOKUP($C38,villes[nom_commune],villes[Population],0,0),Seuil_population,Nuitées,0,1)*I38</f>
        <v>200</v>
      </c>
      <c r="L38" s="2">
        <f t="shared" si="0"/>
        <v>561.16</v>
      </c>
      <c r="M38" s="22">
        <f t="shared" si="1"/>
        <v>2164.7892184339926</v>
      </c>
      <c r="N38" s="18">
        <f>IF(F38&lt;&gt;"voiture",_xlfn.XLOOKUP(F38,ModesTransp,EmissionCO2Moy,,0),_xlfn.XLOOKUP(G38,voitures_disponibles!$L:$L,voitures_disponibles!$K:$K,,0))/1000*J38</f>
        <v>190.09149986791783</v>
      </c>
      <c r="O38" t="str">
        <f t="shared" si="2"/>
        <v>Infra2</v>
      </c>
      <c r="P38" t="str">
        <f t="shared" si="3"/>
        <v>data science</v>
      </c>
      <c r="Q38" t="str">
        <f>_xlfn.XLOOKUP($A38,Matr_Employes,Employés!B:B,,0)</f>
        <v>Robert Grégoire-Masse</v>
      </c>
      <c r="R38">
        <f ca="1">_xlfn.XLOOKUP($A38,Matr_Employes,Employés!D:D,,0)</f>
        <v>41</v>
      </c>
      <c r="S38">
        <f ca="1">_xlfn.XLOOKUP($A38,Matr_Employes,Employés!F:F,,0)</f>
        <v>2</v>
      </c>
      <c r="T38" t="str">
        <f>_xlfn.XLOOKUP($A38,Matr_Employes,Employés!G:G,,0)</f>
        <v>senior</v>
      </c>
    </row>
    <row r="39" spans="1:20" x14ac:dyDescent="0.2">
      <c r="A39" s="12">
        <v>9790</v>
      </c>
      <c r="B39" s="12">
        <v>9425</v>
      </c>
      <c r="C39" t="s">
        <v>99</v>
      </c>
      <c r="D39" s="17">
        <v>46258</v>
      </c>
      <c r="E39" s="17">
        <v>46263</v>
      </c>
      <c r="F39" t="s">
        <v>62</v>
      </c>
      <c r="G39" t="s">
        <v>73</v>
      </c>
      <c r="I39" s="14">
        <f t="shared" si="4"/>
        <v>5</v>
      </c>
      <c r="J39" s="13">
        <f>_xlfn.XLOOKUP($C39,villes[nom_commune],villes[distance_paris_km],,0)*2</f>
        <v>1190.5827092173017</v>
      </c>
      <c r="K39" s="2">
        <f>_xlfn.XLOOKUP(_xlfn.XLOOKUP($C39,villes[nom_commune],villes[Population],0,0),Seuil_population,Nuitées,0,1)*I39</f>
        <v>500</v>
      </c>
      <c r="L39" s="2">
        <f t="shared" si="0"/>
        <v>378.5</v>
      </c>
      <c r="M39" s="22">
        <f t="shared" si="1"/>
        <v>2962.0197411302779</v>
      </c>
      <c r="N39" s="18">
        <f>IF(F39&lt;&gt;"voiture",_xlfn.XLOOKUP(F39,ModesTransp,EmissionCO2Moy,,0),_xlfn.XLOOKUP(G39,voitures_disponibles!$L:$L,voitures_disponibles!$K:$K,,0))/1000*J39</f>
        <v>194.06498160242018</v>
      </c>
      <c r="O39" t="str">
        <f t="shared" si="2"/>
        <v>Next</v>
      </c>
      <c r="P39" t="str">
        <f t="shared" si="3"/>
        <v>comptabilité</v>
      </c>
      <c r="Q39" t="str">
        <f>_xlfn.XLOOKUP($A39,Matr_Employes,Employés!B:B,,0)</f>
        <v>Gérard Chrétien du Pelletier</v>
      </c>
      <c r="R39">
        <f ca="1">_xlfn.XLOOKUP($A39,Matr_Employes,Employés!D:D,,0)</f>
        <v>26</v>
      </c>
      <c r="S39">
        <f ca="1">_xlfn.XLOOKUP($A39,Matr_Employes,Employés!F:F,,0)</f>
        <v>0</v>
      </c>
      <c r="T39" t="str">
        <f>_xlfn.XLOOKUP($A39,Matr_Employes,Employés!G:G,,0)</f>
        <v>junior</v>
      </c>
    </row>
    <row r="40" spans="1:20" x14ac:dyDescent="0.2">
      <c r="A40" s="12">
        <v>7152</v>
      </c>
      <c r="B40" s="12">
        <v>9474</v>
      </c>
      <c r="C40" t="s">
        <v>100</v>
      </c>
      <c r="D40" s="17">
        <v>46259</v>
      </c>
      <c r="E40" s="17">
        <v>46263</v>
      </c>
      <c r="F40" t="s">
        <v>60</v>
      </c>
      <c r="H40" s="2">
        <v>579</v>
      </c>
      <c r="I40" s="14">
        <f t="shared" si="4"/>
        <v>4</v>
      </c>
      <c r="J40" s="13">
        <f>_xlfn.XLOOKUP($C40,villes[nom_commune],villes[distance_paris_km],,0)*2</f>
        <v>1832.8525093398346</v>
      </c>
      <c r="K40" s="2">
        <f>_xlfn.XLOOKUP(_xlfn.XLOOKUP($C40,villes[nom_commune],villes[Population],0,0),Seuil_population,Nuitées,0,1)*I40</f>
        <v>200</v>
      </c>
      <c r="L40" s="2">
        <f t="shared" si="0"/>
        <v>265.60000000000002</v>
      </c>
      <c r="M40" s="22">
        <f t="shared" si="1"/>
        <v>1044.5999999999999</v>
      </c>
      <c r="N40" s="18">
        <f>IF(F40&lt;&gt;"voiture",_xlfn.XLOOKUP(F40,ModesTransp,EmissionCO2Moy,,0),_xlfn.XLOOKUP(G40,voitures_disponibles!$L:$L,voitures_disponibles!$K:$K,,0))/1000*J40</f>
        <v>183.28525093398346</v>
      </c>
      <c r="O40" t="str">
        <f t="shared" si="2"/>
        <v>NextGen</v>
      </c>
      <c r="P40" t="str">
        <f t="shared" si="3"/>
        <v>transformation digitale</v>
      </c>
      <c r="Q40" t="str">
        <f>_xlfn.XLOOKUP($A40,Matr_Employes,Employés!B:B,,0)</f>
        <v>Agnès-Julie Lopes</v>
      </c>
      <c r="R40">
        <f ca="1">_xlfn.XLOOKUP($A40,Matr_Employes,Employés!D:D,,0)</f>
        <v>29</v>
      </c>
      <c r="S40">
        <f ca="1">_xlfn.XLOOKUP($A40,Matr_Employes,Employés!F:F,,0)</f>
        <v>1</v>
      </c>
      <c r="T40" t="str">
        <f>_xlfn.XLOOKUP($A40,Matr_Employes,Employés!G:G,,0)</f>
        <v>junior</v>
      </c>
    </row>
    <row r="41" spans="1:20" x14ac:dyDescent="0.2">
      <c r="A41" s="12">
        <v>9958</v>
      </c>
      <c r="B41" s="12">
        <v>8519</v>
      </c>
      <c r="C41" t="s">
        <v>101</v>
      </c>
      <c r="D41" s="17">
        <v>46260</v>
      </c>
      <c r="E41" s="17">
        <v>46267</v>
      </c>
      <c r="F41" t="s">
        <v>58</v>
      </c>
      <c r="H41" s="2">
        <v>135.5</v>
      </c>
      <c r="I41" s="14">
        <f t="shared" si="4"/>
        <v>7</v>
      </c>
      <c r="J41" s="13">
        <f>_xlfn.XLOOKUP($C41,villes[nom_commune],villes[distance_paris_km],,0)*2</f>
        <v>402.24192193177629</v>
      </c>
      <c r="K41" s="2">
        <f>_xlfn.XLOOKUP(_xlfn.XLOOKUP($C41,villes[nom_commune],villes[Population],0,0),Seuil_population,Nuitées,0,1)*I41</f>
        <v>525</v>
      </c>
      <c r="L41" s="2">
        <f t="shared" si="0"/>
        <v>391.09</v>
      </c>
      <c r="M41" s="22">
        <f t="shared" si="1"/>
        <v>1051.5899999999999</v>
      </c>
      <c r="N41" s="18">
        <f>IF(F41&lt;&gt;"voiture",_xlfn.XLOOKUP(F41,ModesTransp,EmissionCO2Moy,,0),_xlfn.XLOOKUP(G41,voitures_disponibles!$L:$L,voitures_disponibles!$K:$K,,0))/1000*J41</f>
        <v>0.80448384386355265</v>
      </c>
      <c r="O41" t="str">
        <f t="shared" si="2"/>
        <v>Infra2</v>
      </c>
      <c r="P41" t="str">
        <f t="shared" si="3"/>
        <v>data science</v>
      </c>
      <c r="Q41" t="str">
        <f>_xlfn.XLOOKUP($A41,Matr_Employes,Employés!B:B,,0)</f>
        <v>Valérie Le Gall</v>
      </c>
      <c r="R41">
        <f ca="1">_xlfn.XLOOKUP($A41,Matr_Employes,Employés!D:D,,0)</f>
        <v>25</v>
      </c>
      <c r="S41">
        <f ca="1">_xlfn.XLOOKUP($A41,Matr_Employes,Employés!F:F,,0)</f>
        <v>2</v>
      </c>
      <c r="T41" t="str">
        <f>_xlfn.XLOOKUP($A41,Matr_Employes,Employés!G:G,,0)</f>
        <v>junior</v>
      </c>
    </row>
    <row r="42" spans="1:20" x14ac:dyDescent="0.2">
      <c r="A42" s="12">
        <v>7178</v>
      </c>
      <c r="B42" s="12">
        <v>1171</v>
      </c>
      <c r="C42" t="s">
        <v>102</v>
      </c>
      <c r="D42" s="17">
        <v>46261</v>
      </c>
      <c r="E42" s="17">
        <v>46268</v>
      </c>
      <c r="F42" t="s">
        <v>62</v>
      </c>
      <c r="G42" t="s">
        <v>80</v>
      </c>
      <c r="I42" s="14">
        <f t="shared" si="4"/>
        <v>7</v>
      </c>
      <c r="J42" s="13">
        <f>_xlfn.XLOOKUP($C42,villes[nom_commune],villes[distance_paris_km],,0)*2</f>
        <v>528.37078515457438</v>
      </c>
      <c r="K42" s="2">
        <f>_xlfn.XLOOKUP(_xlfn.XLOOKUP($C42,villes[nom_commune],villes[Population],0,0),Seuil_population,Nuitées,0,1)*I42</f>
        <v>700</v>
      </c>
      <c r="L42" s="2">
        <f t="shared" si="0"/>
        <v>651.42000000000007</v>
      </c>
      <c r="M42" s="22">
        <f t="shared" si="1"/>
        <v>2276.0688740205051</v>
      </c>
      <c r="N42" s="18">
        <f>IF(F42&lt;&gt;"voiture",_xlfn.XLOOKUP(F42,ModesTransp,EmissionCO2Moy,,0),_xlfn.XLOOKUP(G42,voitures_disponibles!$L:$L,voitures_disponibles!$K:$K,,0))/1000*J42</f>
        <v>58.120786367003184</v>
      </c>
      <c r="O42" t="str">
        <f t="shared" si="2"/>
        <v>CLAIREIndigo</v>
      </c>
      <c r="P42" t="str">
        <f t="shared" si="3"/>
        <v>finance</v>
      </c>
      <c r="Q42" t="str">
        <f>_xlfn.XLOOKUP($A42,Matr_Employes,Employés!B:B,,0)</f>
        <v>Océane Petitjean-Delaunay</v>
      </c>
      <c r="R42">
        <f ca="1">_xlfn.XLOOKUP($A42,Matr_Employes,Employés!D:D,,0)</f>
        <v>32</v>
      </c>
      <c r="S42">
        <f ca="1">_xlfn.XLOOKUP($A42,Matr_Employes,Employés!F:F,,0)</f>
        <v>4</v>
      </c>
      <c r="T42" t="str">
        <f>_xlfn.XLOOKUP($A42,Matr_Employes,Employés!G:G,,0)</f>
        <v>junior</v>
      </c>
    </row>
    <row r="43" spans="1:20" x14ac:dyDescent="0.2">
      <c r="A43" s="12">
        <v>4029</v>
      </c>
      <c r="B43" s="12">
        <v>9247</v>
      </c>
      <c r="C43" t="s">
        <v>103</v>
      </c>
      <c r="D43" s="17">
        <v>46261</v>
      </c>
      <c r="E43" s="17">
        <v>46263</v>
      </c>
      <c r="F43" t="s">
        <v>58</v>
      </c>
      <c r="H43" s="2">
        <v>5</v>
      </c>
      <c r="I43" s="14">
        <f t="shared" si="4"/>
        <v>2</v>
      </c>
      <c r="J43" s="13">
        <f>_xlfn.XLOOKUP($C43,villes[nom_commune],villes[distance_paris_km],,0)*2</f>
        <v>20.412162969195503</v>
      </c>
      <c r="K43" s="2">
        <f>_xlfn.XLOOKUP(_xlfn.XLOOKUP($C43,villes[nom_commune],villes[Population],0,0),Seuil_population,Nuitées,0,1)*I43</f>
        <v>150</v>
      </c>
      <c r="L43" s="2">
        <f t="shared" si="0"/>
        <v>115.64</v>
      </c>
      <c r="M43" s="22">
        <f t="shared" si="1"/>
        <v>270.64</v>
      </c>
      <c r="N43" s="18">
        <f>IF(F43&lt;&gt;"voiture",_xlfn.XLOOKUP(F43,ModesTransp,EmissionCO2Moy,,0),_xlfn.XLOOKUP(G43,voitures_disponibles!$L:$L,voitures_disponibles!$K:$K,,0))/1000*J43</f>
        <v>4.0824325938391005E-2</v>
      </c>
      <c r="O43" t="str">
        <f t="shared" si="2"/>
        <v>E30</v>
      </c>
      <c r="P43" t="str">
        <f t="shared" si="3"/>
        <v>ERP</v>
      </c>
      <c r="Q43" t="str">
        <f>_xlfn.XLOOKUP($A43,Matr_Employes,Employés!B:B,,0)</f>
        <v>Philippe Jacquet</v>
      </c>
      <c r="R43">
        <f ca="1">_xlfn.XLOOKUP($A43,Matr_Employes,Employés!D:D,,0)</f>
        <v>26</v>
      </c>
      <c r="S43">
        <f ca="1">_xlfn.XLOOKUP($A43,Matr_Employes,Employés!F:F,,0)</f>
        <v>3</v>
      </c>
      <c r="T43" t="str">
        <f>_xlfn.XLOOKUP($A43,Matr_Employes,Employés!G:G,,0)</f>
        <v>junior</v>
      </c>
    </row>
    <row r="44" spans="1:20" x14ac:dyDescent="0.2">
      <c r="A44" s="12">
        <v>3751</v>
      </c>
      <c r="B44" s="12">
        <v>2042</v>
      </c>
      <c r="C44" t="s">
        <v>104</v>
      </c>
      <c r="D44" s="17">
        <v>46262</v>
      </c>
      <c r="E44" s="17">
        <v>46269</v>
      </c>
      <c r="F44" t="s">
        <v>62</v>
      </c>
      <c r="G44" t="s">
        <v>88</v>
      </c>
      <c r="I44" s="14">
        <f t="shared" si="4"/>
        <v>7</v>
      </c>
      <c r="J44" s="13">
        <f>_xlfn.XLOOKUP($C44,villes[nom_commune],villes[distance_paris_km],,0)*2</f>
        <v>13.088746396149698</v>
      </c>
      <c r="K44" s="2">
        <f>_xlfn.XLOOKUP(_xlfn.XLOOKUP($C44,villes[nom_commune],villes[Population],0,0),Seuil_population,Nuitées,0,1)*I44</f>
        <v>350</v>
      </c>
      <c r="L44" s="2">
        <f t="shared" si="0"/>
        <v>763.35</v>
      </c>
      <c r="M44" s="22">
        <f t="shared" si="1"/>
        <v>1136.255306193262</v>
      </c>
      <c r="N44" s="18">
        <f>IF(F44&lt;&gt;"voiture",_xlfn.XLOOKUP(F44,ModesTransp,EmissionCO2Moy,,0),_xlfn.XLOOKUP(G44,voitures_disponibles!$L:$L,voitures_disponibles!$K:$K,,0))/1000*J44</f>
        <v>3.1020328958874783</v>
      </c>
      <c r="O44" t="str">
        <f t="shared" si="2"/>
        <v>Optimus</v>
      </c>
      <c r="P44" t="str">
        <f t="shared" si="3"/>
        <v>finance</v>
      </c>
      <c r="Q44" t="str">
        <f>_xlfn.XLOOKUP($A44,Matr_Employes,Employés!B:B,,0)</f>
        <v>Michèle de la Bonneau</v>
      </c>
      <c r="R44">
        <f ca="1">_xlfn.XLOOKUP($A44,Matr_Employes,Employés!D:D,,0)</f>
        <v>41</v>
      </c>
      <c r="S44">
        <f ca="1">_xlfn.XLOOKUP($A44,Matr_Employes,Employés!F:F,,0)</f>
        <v>2</v>
      </c>
      <c r="T44" t="str">
        <f>_xlfn.XLOOKUP($A44,Matr_Employes,Employés!G:G,,0)</f>
        <v>senior</v>
      </c>
    </row>
    <row r="45" spans="1:20" x14ac:dyDescent="0.2">
      <c r="A45" s="12">
        <v>9564</v>
      </c>
      <c r="B45" s="12">
        <v>8519</v>
      </c>
      <c r="C45" t="s">
        <v>105</v>
      </c>
      <c r="D45" s="17">
        <v>46263</v>
      </c>
      <c r="E45" s="17">
        <v>46268</v>
      </c>
      <c r="F45" t="s">
        <v>62</v>
      </c>
      <c r="G45" t="s">
        <v>65</v>
      </c>
      <c r="I45" s="14">
        <f t="shared" si="4"/>
        <v>5</v>
      </c>
      <c r="J45" s="13">
        <f>_xlfn.XLOOKUP($C45,villes[nom_commune],villes[distance_paris_km],,0)*2</f>
        <v>423.94716370353035</v>
      </c>
      <c r="K45" s="2">
        <f>_xlfn.XLOOKUP(_xlfn.XLOOKUP($C45,villes[nom_commune],villes[Population],0,0),Seuil_population,Nuitées,0,1)*I45</f>
        <v>375</v>
      </c>
      <c r="L45" s="2">
        <f t="shared" si="0"/>
        <v>701.44999999999993</v>
      </c>
      <c r="M45" s="22">
        <f t="shared" si="1"/>
        <v>1818.3575364811779</v>
      </c>
      <c r="N45" s="18">
        <f>IF(F45&lt;&gt;"voiture",_xlfn.XLOOKUP(F45,ModesTransp,EmissionCO2Moy,,0),_xlfn.XLOOKUP(G45,voitures_disponibles!$L:$L,voitures_disponibles!$K:$K,,0))/1000*J45</f>
        <v>84.789432740706076</v>
      </c>
      <c r="O45" t="str">
        <f t="shared" si="2"/>
        <v>Infra2</v>
      </c>
      <c r="P45" t="str">
        <f t="shared" si="3"/>
        <v>data science</v>
      </c>
      <c r="Q45" t="str">
        <f>_xlfn.XLOOKUP($A45,Matr_Employes,Employés!B:B,,0)</f>
        <v>Robert Grégoire-Masse</v>
      </c>
      <c r="R45">
        <f ca="1">_xlfn.XLOOKUP($A45,Matr_Employes,Employés!D:D,,0)</f>
        <v>41</v>
      </c>
      <c r="S45">
        <f ca="1">_xlfn.XLOOKUP($A45,Matr_Employes,Employés!F:F,,0)</f>
        <v>2</v>
      </c>
      <c r="T45" t="str">
        <f>_xlfn.XLOOKUP($A45,Matr_Employes,Employés!G:G,,0)</f>
        <v>senior</v>
      </c>
    </row>
    <row r="46" spans="1:20" x14ac:dyDescent="0.2">
      <c r="A46" s="12">
        <v>9393</v>
      </c>
      <c r="B46" s="12">
        <v>1934</v>
      </c>
      <c r="C46" t="s">
        <v>105</v>
      </c>
      <c r="D46" s="17">
        <v>46263</v>
      </c>
      <c r="E46" s="17">
        <v>46267</v>
      </c>
      <c r="F46" t="s">
        <v>62</v>
      </c>
      <c r="G46" t="s">
        <v>73</v>
      </c>
      <c r="I46" s="14">
        <f t="shared" si="4"/>
        <v>4</v>
      </c>
      <c r="J46" s="13">
        <f>_xlfn.XLOOKUP($C46,villes[nom_commune],villes[distance_paris_km],,0)*2</f>
        <v>423.94716370353035</v>
      </c>
      <c r="K46" s="2">
        <f>_xlfn.XLOOKUP(_xlfn.XLOOKUP($C46,villes[nom_commune],villes[Population],0,0),Seuil_population,Nuitées,0,1)*I46</f>
        <v>300</v>
      </c>
      <c r="L46" s="2">
        <f t="shared" si="0"/>
        <v>268.32</v>
      </c>
      <c r="M46" s="22">
        <f t="shared" si="1"/>
        <v>1310.227536481178</v>
      </c>
      <c r="N46" s="18">
        <f>IF(F46&lt;&gt;"voiture",_xlfn.XLOOKUP(F46,ModesTransp,EmissionCO2Moy,,0),_xlfn.XLOOKUP(G46,voitures_disponibles!$L:$L,voitures_disponibles!$K:$K,,0))/1000*J46</f>
        <v>69.10338768367545</v>
      </c>
      <c r="O46" t="str">
        <f t="shared" si="2"/>
        <v>Gamma</v>
      </c>
      <c r="P46" t="str">
        <f t="shared" si="3"/>
        <v>data science</v>
      </c>
      <c r="Q46" t="str">
        <f>_xlfn.XLOOKUP($A46,Matr_Employes,Employés!B:B,,0)</f>
        <v>Céline Marques</v>
      </c>
      <c r="R46">
        <f ca="1">_xlfn.XLOOKUP($A46,Matr_Employes,Employés!D:D,,0)</f>
        <v>28</v>
      </c>
      <c r="S46">
        <f ca="1">_xlfn.XLOOKUP($A46,Matr_Employes,Employés!F:F,,0)</f>
        <v>1</v>
      </c>
      <c r="T46" t="str">
        <f>_xlfn.XLOOKUP($A46,Matr_Employes,Employés!G:G,,0)</f>
        <v>junior</v>
      </c>
    </row>
    <row r="47" spans="1:20" x14ac:dyDescent="0.2">
      <c r="A47" s="12">
        <v>9790</v>
      </c>
      <c r="B47" s="12">
        <v>9425</v>
      </c>
      <c r="C47" t="s">
        <v>64</v>
      </c>
      <c r="D47" s="17">
        <v>46263</v>
      </c>
      <c r="E47" s="17">
        <v>46272</v>
      </c>
      <c r="F47" t="s">
        <v>58</v>
      </c>
      <c r="H47" s="2">
        <v>5</v>
      </c>
      <c r="I47" s="14">
        <f t="shared" si="4"/>
        <v>9</v>
      </c>
      <c r="J47" s="13">
        <f>_xlfn.XLOOKUP($C47,villes[nom_commune],villes[distance_paris_km],,0)*2</f>
        <v>24.135524480783484</v>
      </c>
      <c r="K47" s="2">
        <f>_xlfn.XLOOKUP(_xlfn.XLOOKUP($C47,villes[nom_commune],villes[Population],0,0),Seuil_population,Nuitées,0,1)*I47</f>
        <v>675</v>
      </c>
      <c r="L47" s="2">
        <f t="shared" si="0"/>
        <v>681.30000000000007</v>
      </c>
      <c r="M47" s="22">
        <f t="shared" si="1"/>
        <v>1361.3000000000002</v>
      </c>
      <c r="N47" s="18">
        <f>IF(F47&lt;&gt;"voiture",_xlfn.XLOOKUP(F47,ModesTransp,EmissionCO2Moy,,0),_xlfn.XLOOKUP(G47,voitures_disponibles!$L:$L,voitures_disponibles!$K:$K,,0))/1000*J47</f>
        <v>4.8271048961566969E-2</v>
      </c>
      <c r="O47" t="str">
        <f t="shared" si="2"/>
        <v>Next</v>
      </c>
      <c r="P47" t="str">
        <f t="shared" si="3"/>
        <v>comptabilité</v>
      </c>
      <c r="Q47" t="str">
        <f>_xlfn.XLOOKUP($A47,Matr_Employes,Employés!B:B,,0)</f>
        <v>Gérard Chrétien du Pelletier</v>
      </c>
      <c r="R47">
        <f ca="1">_xlfn.XLOOKUP($A47,Matr_Employes,Employés!D:D,,0)</f>
        <v>26</v>
      </c>
      <c r="S47">
        <f ca="1">_xlfn.XLOOKUP($A47,Matr_Employes,Employés!F:F,,0)</f>
        <v>0</v>
      </c>
      <c r="T47" t="str">
        <f>_xlfn.XLOOKUP($A47,Matr_Employes,Employés!G:G,,0)</f>
        <v>junior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163F1-2A81-F24A-8984-2F8025FCEF54}">
  <dimension ref="A1:M6"/>
  <sheetViews>
    <sheetView workbookViewId="0">
      <selection activeCell="G3" sqref="G3"/>
    </sheetView>
  </sheetViews>
  <sheetFormatPr baseColWidth="10" defaultRowHeight="16" x14ac:dyDescent="0.2"/>
  <cols>
    <col min="1" max="1" width="18.83203125" customWidth="1"/>
    <col min="8" max="8" width="12.1640625" customWidth="1"/>
  </cols>
  <sheetData>
    <row r="1" spans="1:13" x14ac:dyDescent="0.2">
      <c r="A1" s="9" t="s">
        <v>111</v>
      </c>
      <c r="B1" s="9" t="s">
        <v>112</v>
      </c>
      <c r="F1" s="5" t="s">
        <v>110</v>
      </c>
      <c r="G1" s="6"/>
      <c r="H1" s="6" t="s">
        <v>108</v>
      </c>
      <c r="K1" s="5" t="s">
        <v>388</v>
      </c>
      <c r="L1" s="6"/>
      <c r="M1" s="6"/>
    </row>
    <row r="2" spans="1:13" x14ac:dyDescent="0.2">
      <c r="A2" s="19">
        <v>75000</v>
      </c>
      <c r="B2" s="10">
        <v>50</v>
      </c>
      <c r="F2" s="6" t="s">
        <v>107</v>
      </c>
      <c r="G2" s="5">
        <v>260</v>
      </c>
      <c r="H2" s="5" t="s">
        <v>109</v>
      </c>
      <c r="K2" s="6" t="s">
        <v>389</v>
      </c>
      <c r="L2" s="6">
        <v>100</v>
      </c>
      <c r="M2" s="5" t="s">
        <v>390</v>
      </c>
    </row>
    <row r="3" spans="1:13" x14ac:dyDescent="0.2">
      <c r="A3" s="19">
        <v>150000</v>
      </c>
      <c r="B3" s="10">
        <v>75</v>
      </c>
      <c r="K3" s="6" t="s">
        <v>391</v>
      </c>
      <c r="L3" s="6">
        <v>2</v>
      </c>
      <c r="M3" s="5" t="s">
        <v>390</v>
      </c>
    </row>
    <row r="4" spans="1:13" x14ac:dyDescent="0.2">
      <c r="A4" s="19">
        <v>300000</v>
      </c>
      <c r="B4" s="10">
        <v>100</v>
      </c>
      <c r="F4" s="7" t="s">
        <v>114</v>
      </c>
      <c r="G4" s="8"/>
    </row>
    <row r="5" spans="1:13" x14ac:dyDescent="0.2">
      <c r="A5" s="19">
        <v>500000</v>
      </c>
      <c r="B5" s="10">
        <v>150</v>
      </c>
      <c r="F5" s="8" t="s">
        <v>107</v>
      </c>
      <c r="G5" s="11">
        <v>1.75</v>
      </c>
    </row>
    <row r="6" spans="1:13" x14ac:dyDescent="0.2">
      <c r="A6" s="19">
        <v>1000000</v>
      </c>
      <c r="B6" s="10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D563-38D2-F646-AE16-9B37D1C0A084}">
  <dimension ref="A1:L11"/>
  <sheetViews>
    <sheetView workbookViewId="0">
      <selection activeCell="K27" sqref="K27"/>
    </sheetView>
  </sheetViews>
  <sheetFormatPr baseColWidth="10" defaultRowHeight="16" x14ac:dyDescent="0.2"/>
  <cols>
    <col min="1" max="1" width="13.1640625" bestFit="1" customWidth="1"/>
    <col min="2" max="2" width="19.6640625" bestFit="1" customWidth="1"/>
    <col min="3" max="3" width="15.5" bestFit="1" customWidth="1"/>
    <col min="4" max="4" width="15.1640625" bestFit="1" customWidth="1"/>
    <col min="5" max="5" width="11.1640625" bestFit="1" customWidth="1"/>
    <col min="6" max="6" width="14.5" bestFit="1" customWidth="1"/>
    <col min="7" max="7" width="32.1640625" bestFit="1" customWidth="1"/>
    <col min="8" max="8" width="32.83203125" bestFit="1" customWidth="1"/>
    <col min="9" max="9" width="33.6640625" bestFit="1" customWidth="1"/>
    <col min="10" max="10" width="29.5" bestFit="1" customWidth="1"/>
    <col min="11" max="11" width="21.6640625" bestFit="1" customWidth="1"/>
    <col min="12" max="12" width="16.83203125" bestFit="1" customWidth="1"/>
  </cols>
  <sheetData>
    <row r="1" spans="1:12" x14ac:dyDescent="0.2">
      <c r="A1" t="s">
        <v>349</v>
      </c>
      <c r="B1" t="s">
        <v>350</v>
      </c>
      <c r="C1" t="s">
        <v>351</v>
      </c>
      <c r="D1" t="s">
        <v>352</v>
      </c>
      <c r="E1" t="s">
        <v>353</v>
      </c>
      <c r="F1" t="s">
        <v>354</v>
      </c>
      <c r="G1" t="s">
        <v>355</v>
      </c>
      <c r="H1" t="s">
        <v>356</v>
      </c>
      <c r="I1" t="s">
        <v>357</v>
      </c>
      <c r="J1" t="s">
        <v>358</v>
      </c>
      <c r="K1" t="s">
        <v>359</v>
      </c>
      <c r="L1" t="s">
        <v>56</v>
      </c>
    </row>
    <row r="2" spans="1:12" x14ac:dyDescent="0.2">
      <c r="A2" t="s">
        <v>360</v>
      </c>
      <c r="B2" t="s">
        <v>361</v>
      </c>
      <c r="C2" t="s">
        <v>362</v>
      </c>
      <c r="D2">
        <v>2</v>
      </c>
      <c r="E2">
        <v>4</v>
      </c>
      <c r="F2" t="s">
        <v>363</v>
      </c>
      <c r="G2">
        <v>10.199999999999999</v>
      </c>
      <c r="H2" s="1">
        <v>45696</v>
      </c>
      <c r="I2" s="1">
        <v>45725</v>
      </c>
      <c r="J2">
        <v>30</v>
      </c>
      <c r="K2">
        <v>214</v>
      </c>
      <c r="L2" t="s">
        <v>71</v>
      </c>
    </row>
    <row r="3" spans="1:12" x14ac:dyDescent="0.2">
      <c r="A3" t="s">
        <v>364</v>
      </c>
      <c r="B3" t="s">
        <v>365</v>
      </c>
      <c r="C3" t="s">
        <v>366</v>
      </c>
      <c r="D3">
        <v>1.6</v>
      </c>
      <c r="E3">
        <v>4</v>
      </c>
      <c r="F3" t="s">
        <v>363</v>
      </c>
      <c r="G3">
        <v>8.6999999999999993</v>
      </c>
      <c r="H3" s="1">
        <v>45814</v>
      </c>
      <c r="I3" s="1">
        <v>45876</v>
      </c>
      <c r="J3">
        <v>36</v>
      </c>
      <c r="K3">
        <v>179</v>
      </c>
      <c r="L3" t="s">
        <v>78</v>
      </c>
    </row>
    <row r="4" spans="1:12" x14ac:dyDescent="0.2">
      <c r="A4" t="s">
        <v>367</v>
      </c>
      <c r="B4" t="s">
        <v>368</v>
      </c>
      <c r="C4" t="s">
        <v>369</v>
      </c>
      <c r="D4">
        <v>1.8</v>
      </c>
      <c r="E4">
        <v>4</v>
      </c>
      <c r="F4" t="s">
        <v>370</v>
      </c>
      <c r="G4">
        <v>4.7</v>
      </c>
      <c r="H4" s="1">
        <v>45904</v>
      </c>
      <c r="I4" s="1">
        <v>45873</v>
      </c>
      <c r="J4">
        <v>59</v>
      </c>
      <c r="K4">
        <v>110</v>
      </c>
      <c r="L4" t="s">
        <v>80</v>
      </c>
    </row>
    <row r="5" spans="1:12" x14ac:dyDescent="0.2">
      <c r="A5" t="s">
        <v>367</v>
      </c>
      <c r="B5" t="s">
        <v>371</v>
      </c>
      <c r="C5" t="s">
        <v>372</v>
      </c>
      <c r="D5">
        <v>1.5</v>
      </c>
      <c r="E5">
        <v>4</v>
      </c>
      <c r="F5" t="s">
        <v>373</v>
      </c>
      <c r="G5">
        <v>7.8</v>
      </c>
      <c r="H5" s="1">
        <v>45722</v>
      </c>
      <c r="I5" s="1">
        <v>45664</v>
      </c>
      <c r="J5">
        <v>40</v>
      </c>
      <c r="K5">
        <v>163</v>
      </c>
      <c r="L5" t="s">
        <v>73</v>
      </c>
    </row>
    <row r="6" spans="1:12" x14ac:dyDescent="0.2">
      <c r="A6" t="s">
        <v>374</v>
      </c>
      <c r="B6" t="s">
        <v>375</v>
      </c>
      <c r="C6" t="s">
        <v>372</v>
      </c>
      <c r="D6">
        <v>2</v>
      </c>
      <c r="E6">
        <v>4</v>
      </c>
      <c r="F6" t="s">
        <v>363</v>
      </c>
      <c r="G6">
        <v>8.4</v>
      </c>
      <c r="H6" s="1">
        <v>45905</v>
      </c>
      <c r="I6" s="1">
        <v>45754</v>
      </c>
      <c r="J6">
        <v>38</v>
      </c>
      <c r="K6">
        <v>200</v>
      </c>
      <c r="L6" t="s">
        <v>65</v>
      </c>
    </row>
    <row r="7" spans="1:12" x14ac:dyDescent="0.2">
      <c r="A7" t="s">
        <v>374</v>
      </c>
      <c r="B7" t="s">
        <v>376</v>
      </c>
      <c r="C7" t="s">
        <v>377</v>
      </c>
      <c r="D7">
        <v>3.6</v>
      </c>
      <c r="E7">
        <v>6</v>
      </c>
      <c r="F7" t="s">
        <v>378</v>
      </c>
      <c r="G7">
        <v>14.4</v>
      </c>
      <c r="H7" s="1">
        <v>45757</v>
      </c>
      <c r="I7" s="1">
        <v>45820</v>
      </c>
      <c r="J7">
        <v>22</v>
      </c>
      <c r="K7">
        <v>296</v>
      </c>
      <c r="L7" t="s">
        <v>63</v>
      </c>
    </row>
    <row r="8" spans="1:12" x14ac:dyDescent="0.2">
      <c r="A8" t="s">
        <v>379</v>
      </c>
      <c r="B8" t="s">
        <v>380</v>
      </c>
      <c r="C8" t="s">
        <v>369</v>
      </c>
      <c r="D8">
        <v>2</v>
      </c>
      <c r="E8">
        <v>4</v>
      </c>
      <c r="F8" t="s">
        <v>378</v>
      </c>
      <c r="G8">
        <v>12</v>
      </c>
      <c r="H8" s="1">
        <v>45665</v>
      </c>
      <c r="I8" s="1">
        <v>45726</v>
      </c>
      <c r="J8">
        <v>27</v>
      </c>
      <c r="K8">
        <v>237</v>
      </c>
      <c r="L8" t="s">
        <v>88</v>
      </c>
    </row>
    <row r="9" spans="1:12" x14ac:dyDescent="0.2">
      <c r="A9" t="s">
        <v>379</v>
      </c>
      <c r="B9" t="s">
        <v>381</v>
      </c>
      <c r="C9" t="s">
        <v>362</v>
      </c>
      <c r="D9">
        <v>2</v>
      </c>
      <c r="E9">
        <v>4</v>
      </c>
      <c r="F9" t="s">
        <v>378</v>
      </c>
      <c r="G9">
        <v>9.8000000000000007</v>
      </c>
      <c r="H9" s="1">
        <v>45907</v>
      </c>
      <c r="I9" s="1">
        <v>45908</v>
      </c>
      <c r="J9">
        <v>32</v>
      </c>
      <c r="K9">
        <v>205</v>
      </c>
      <c r="L9" t="s">
        <v>382</v>
      </c>
    </row>
    <row r="10" spans="1:12" x14ac:dyDescent="0.2">
      <c r="A10" t="s">
        <v>360</v>
      </c>
      <c r="B10" t="s">
        <v>383</v>
      </c>
      <c r="C10" t="s">
        <v>384</v>
      </c>
      <c r="D10">
        <v>1.6</v>
      </c>
      <c r="E10">
        <v>4</v>
      </c>
      <c r="F10" t="s">
        <v>385</v>
      </c>
      <c r="G10">
        <v>4.3</v>
      </c>
      <c r="H10" s="1">
        <v>45751</v>
      </c>
      <c r="I10" s="1">
        <v>45751</v>
      </c>
      <c r="J10">
        <v>64</v>
      </c>
      <c r="K10">
        <v>103</v>
      </c>
      <c r="L10" t="s">
        <v>84</v>
      </c>
    </row>
    <row r="11" spans="1:12" x14ac:dyDescent="0.2">
      <c r="A11" t="s">
        <v>367</v>
      </c>
      <c r="B11" t="s">
        <v>386</v>
      </c>
      <c r="C11" t="s">
        <v>372</v>
      </c>
      <c r="D11">
        <v>1.5</v>
      </c>
      <c r="E11">
        <v>4</v>
      </c>
      <c r="F11" t="s">
        <v>387</v>
      </c>
      <c r="G11">
        <v>7.3</v>
      </c>
      <c r="H11" s="1">
        <v>45874</v>
      </c>
      <c r="I11" s="1">
        <v>45814</v>
      </c>
      <c r="J11">
        <v>43</v>
      </c>
      <c r="K11">
        <v>155</v>
      </c>
      <c r="L11" t="s">
        <v>68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645DF-E5DD-0442-8E00-5CF53695CF7B}">
  <dimension ref="A1:E101"/>
  <sheetViews>
    <sheetView workbookViewId="0">
      <selection activeCell="E1" sqref="E1"/>
    </sheetView>
  </sheetViews>
  <sheetFormatPr baseColWidth="10" defaultRowHeight="16" x14ac:dyDescent="0.2"/>
  <cols>
    <col min="1" max="1" width="13.5" bestFit="1" customWidth="1"/>
    <col min="2" max="2" width="16.83203125" bestFit="1" customWidth="1"/>
    <col min="3" max="3" width="19.83203125" bestFit="1" customWidth="1"/>
    <col min="4" max="4" width="12.33203125" bestFit="1" customWidth="1"/>
    <col min="5" max="5" width="19.33203125" bestFit="1" customWidth="1"/>
  </cols>
  <sheetData>
    <row r="1" spans="1:5" x14ac:dyDescent="0.2">
      <c r="A1" t="s">
        <v>118</v>
      </c>
      <c r="B1" t="s">
        <v>119</v>
      </c>
      <c r="C1" t="s">
        <v>120</v>
      </c>
      <c r="D1" t="s">
        <v>106</v>
      </c>
      <c r="E1" t="s">
        <v>121</v>
      </c>
    </row>
    <row r="2" spans="1:5" x14ac:dyDescent="0.2">
      <c r="A2" t="s">
        <v>243</v>
      </c>
      <c r="B2" t="s">
        <v>122</v>
      </c>
      <c r="C2" t="s">
        <v>123</v>
      </c>
      <c r="D2">
        <v>2141000</v>
      </c>
      <c r="E2">
        <v>0</v>
      </c>
    </row>
    <row r="3" spans="1:5" x14ac:dyDescent="0.2">
      <c r="A3" t="s">
        <v>244</v>
      </c>
      <c r="B3" t="s">
        <v>124</v>
      </c>
      <c r="C3" t="s">
        <v>125</v>
      </c>
      <c r="D3">
        <v>861635</v>
      </c>
      <c r="E3">
        <v>661.53606645357661</v>
      </c>
    </row>
    <row r="4" spans="1:5" x14ac:dyDescent="0.2">
      <c r="A4" t="s">
        <v>245</v>
      </c>
      <c r="B4" t="s">
        <v>126</v>
      </c>
      <c r="C4" t="s">
        <v>79</v>
      </c>
      <c r="D4">
        <v>513275</v>
      </c>
      <c r="E4">
        <v>393.97794593860516</v>
      </c>
    </row>
    <row r="5" spans="1:5" x14ac:dyDescent="0.2">
      <c r="A5" t="s">
        <v>246</v>
      </c>
      <c r="B5" t="s">
        <v>127</v>
      </c>
      <c r="C5" t="s">
        <v>97</v>
      </c>
      <c r="D5">
        <v>390301</v>
      </c>
      <c r="E5">
        <v>589.50647113821549</v>
      </c>
    </row>
    <row r="6" spans="1:5" x14ac:dyDescent="0.2">
      <c r="A6" t="s">
        <v>247</v>
      </c>
      <c r="B6" t="s">
        <v>128</v>
      </c>
      <c r="C6" t="s">
        <v>77</v>
      </c>
      <c r="D6">
        <v>343123</v>
      </c>
      <c r="E6">
        <v>685.58586873932813</v>
      </c>
    </row>
    <row r="7" spans="1:5" x14ac:dyDescent="0.2">
      <c r="A7" t="s">
        <v>248</v>
      </c>
      <c r="B7" t="s">
        <v>129</v>
      </c>
      <c r="C7" t="s">
        <v>130</v>
      </c>
      <c r="D7">
        <v>270343</v>
      </c>
      <c r="E7">
        <v>341.65367327351839</v>
      </c>
    </row>
    <row r="8" spans="1:5" x14ac:dyDescent="0.2">
      <c r="A8" t="s">
        <v>249</v>
      </c>
      <c r="B8" t="s">
        <v>131</v>
      </c>
      <c r="C8" t="s">
        <v>81</v>
      </c>
      <c r="D8">
        <v>263941</v>
      </c>
      <c r="E8">
        <v>400.88502920171447</v>
      </c>
    </row>
    <row r="9" spans="1:5" x14ac:dyDescent="0.2">
      <c r="A9" t="s">
        <v>250</v>
      </c>
      <c r="B9" t="s">
        <v>132</v>
      </c>
      <c r="C9" t="s">
        <v>99</v>
      </c>
      <c r="D9">
        <v>225511</v>
      </c>
      <c r="E9">
        <v>595.29135460865086</v>
      </c>
    </row>
    <row r="10" spans="1:5" x14ac:dyDescent="0.2">
      <c r="A10" t="s">
        <v>251</v>
      </c>
      <c r="B10" t="s">
        <v>133</v>
      </c>
      <c r="C10" t="s">
        <v>134</v>
      </c>
      <c r="D10">
        <v>215374</v>
      </c>
      <c r="E10">
        <v>497.40480035038217</v>
      </c>
    </row>
    <row r="11" spans="1:5" x14ac:dyDescent="0.2">
      <c r="A11" t="s">
        <v>252</v>
      </c>
      <c r="B11" t="s">
        <v>135</v>
      </c>
      <c r="C11" t="s">
        <v>136</v>
      </c>
      <c r="D11">
        <v>212566</v>
      </c>
      <c r="E11">
        <v>203.33536326068372</v>
      </c>
    </row>
    <row r="12" spans="1:5" x14ac:dyDescent="0.2">
      <c r="A12" t="s">
        <v>253</v>
      </c>
      <c r="B12" t="s">
        <v>137</v>
      </c>
      <c r="C12" t="s">
        <v>87</v>
      </c>
      <c r="D12">
        <v>206194</v>
      </c>
      <c r="E12">
        <v>308.48520147868931</v>
      </c>
    </row>
    <row r="13" spans="1:5" x14ac:dyDescent="0.2">
      <c r="A13" t="s">
        <v>254</v>
      </c>
      <c r="B13" t="s">
        <v>138</v>
      </c>
      <c r="C13" t="s">
        <v>139</v>
      </c>
      <c r="D13">
        <v>190924</v>
      </c>
      <c r="E13">
        <v>175.02425698728479</v>
      </c>
    </row>
    <row r="14" spans="1:5" x14ac:dyDescent="0.2">
      <c r="A14" t="s">
        <v>255</v>
      </c>
      <c r="B14" t="s">
        <v>140</v>
      </c>
      <c r="C14" t="s">
        <v>70</v>
      </c>
      <c r="D14">
        <v>187181</v>
      </c>
      <c r="E14">
        <v>131.82882709975405</v>
      </c>
    </row>
    <row r="15" spans="1:5" x14ac:dyDescent="0.2">
      <c r="A15" t="s">
        <v>256</v>
      </c>
      <c r="B15" t="s">
        <v>141</v>
      </c>
      <c r="C15" t="s">
        <v>142</v>
      </c>
      <c r="D15">
        <v>180438</v>
      </c>
      <c r="E15">
        <v>411.82097536209045</v>
      </c>
    </row>
    <row r="16" spans="1:5" x14ac:dyDescent="0.2">
      <c r="A16" t="s">
        <v>257</v>
      </c>
      <c r="B16" t="s">
        <v>143</v>
      </c>
      <c r="C16" t="s">
        <v>144</v>
      </c>
      <c r="D16">
        <v>160712</v>
      </c>
      <c r="E16">
        <v>694.58812700065528</v>
      </c>
    </row>
    <row r="17" spans="1:5" x14ac:dyDescent="0.2">
      <c r="A17" t="s">
        <v>258</v>
      </c>
      <c r="B17" t="s">
        <v>145</v>
      </c>
      <c r="C17" t="s">
        <v>146</v>
      </c>
      <c r="D17">
        <v>153426</v>
      </c>
      <c r="E17">
        <v>483.25136352936613</v>
      </c>
    </row>
    <row r="18" spans="1:5" x14ac:dyDescent="0.2">
      <c r="A18" t="s">
        <v>259</v>
      </c>
      <c r="B18" t="s">
        <v>147</v>
      </c>
      <c r="C18" t="s">
        <v>86</v>
      </c>
      <c r="D18">
        <v>151322</v>
      </c>
      <c r="E18">
        <v>264.59909976001455</v>
      </c>
    </row>
    <row r="19" spans="1:5" x14ac:dyDescent="0.2">
      <c r="A19" t="s">
        <v>260</v>
      </c>
      <c r="B19" t="s">
        <v>148</v>
      </c>
      <c r="C19" t="s">
        <v>102</v>
      </c>
      <c r="D19">
        <v>150138</v>
      </c>
      <c r="E19">
        <v>264.18539257728719</v>
      </c>
    </row>
    <row r="20" spans="1:5" x14ac:dyDescent="0.2">
      <c r="A20" t="s">
        <v>261</v>
      </c>
      <c r="B20" t="s">
        <v>149</v>
      </c>
      <c r="C20" t="s">
        <v>150</v>
      </c>
      <c r="D20">
        <v>149649</v>
      </c>
      <c r="E20">
        <v>506.54697185826979</v>
      </c>
    </row>
    <row r="21" spans="1:5" x14ac:dyDescent="0.2">
      <c r="A21" t="s">
        <v>262</v>
      </c>
      <c r="B21" t="s">
        <v>151</v>
      </c>
      <c r="C21" t="s">
        <v>152</v>
      </c>
      <c r="D21">
        <v>146064</v>
      </c>
      <c r="E21">
        <v>185.58164179386114</v>
      </c>
    </row>
    <row r="22" spans="1:5" x14ac:dyDescent="0.2">
      <c r="A22" t="s">
        <v>263</v>
      </c>
      <c r="B22" t="s">
        <v>153</v>
      </c>
      <c r="C22" t="s">
        <v>69</v>
      </c>
      <c r="D22">
        <v>137154</v>
      </c>
      <c r="E22">
        <v>347.11931671007824</v>
      </c>
    </row>
    <row r="23" spans="1:5" x14ac:dyDescent="0.2">
      <c r="A23" t="s">
        <v>264</v>
      </c>
      <c r="B23" t="s">
        <v>154</v>
      </c>
      <c r="C23" t="s">
        <v>155</v>
      </c>
      <c r="D23">
        <v>135449</v>
      </c>
      <c r="E23">
        <v>115.52801589104355</v>
      </c>
    </row>
    <row r="24" spans="1:5" x14ac:dyDescent="0.2">
      <c r="A24" t="s">
        <v>265</v>
      </c>
      <c r="B24" t="s">
        <v>124</v>
      </c>
      <c r="C24" t="s">
        <v>85</v>
      </c>
      <c r="D24">
        <v>134324</v>
      </c>
      <c r="E24">
        <v>637.3697681870093</v>
      </c>
    </row>
    <row r="25" spans="1:5" x14ac:dyDescent="0.2">
      <c r="A25" t="s">
        <v>266</v>
      </c>
      <c r="B25" t="s">
        <v>156</v>
      </c>
      <c r="C25" t="s">
        <v>157</v>
      </c>
      <c r="D25">
        <v>133924</v>
      </c>
      <c r="E25">
        <v>344.39727471655783</v>
      </c>
    </row>
    <row r="26" spans="1:5" x14ac:dyDescent="0.2">
      <c r="A26" t="s">
        <v>267</v>
      </c>
      <c r="B26" t="s">
        <v>158</v>
      </c>
      <c r="C26" t="s">
        <v>159</v>
      </c>
      <c r="D26">
        <v>133406</v>
      </c>
      <c r="E26">
        <v>578.7939864129844</v>
      </c>
    </row>
    <row r="27" spans="1:5" x14ac:dyDescent="0.2">
      <c r="A27" t="s">
        <v>268</v>
      </c>
      <c r="B27" t="s">
        <v>160</v>
      </c>
      <c r="C27" t="s">
        <v>96</v>
      </c>
      <c r="D27">
        <v>132677</v>
      </c>
      <c r="E27">
        <v>203.45292316233363</v>
      </c>
    </row>
    <row r="28" spans="1:5" x14ac:dyDescent="0.2">
      <c r="A28" t="s">
        <v>269</v>
      </c>
      <c r="B28" t="s">
        <v>126</v>
      </c>
      <c r="C28" t="s">
        <v>161</v>
      </c>
      <c r="D28">
        <v>124152</v>
      </c>
      <c r="E28">
        <v>394.14213781009533</v>
      </c>
    </row>
    <row r="29" spans="1:5" x14ac:dyDescent="0.2">
      <c r="A29" t="s">
        <v>270</v>
      </c>
      <c r="B29" t="s">
        <v>162</v>
      </c>
      <c r="C29" t="s">
        <v>94</v>
      </c>
      <c r="D29">
        <v>123704</v>
      </c>
      <c r="E29">
        <v>283.75438762233455</v>
      </c>
    </row>
    <row r="30" spans="1:5" x14ac:dyDescent="0.2">
      <c r="A30" t="s">
        <v>271</v>
      </c>
      <c r="B30" t="s">
        <v>163</v>
      </c>
      <c r="C30" t="s">
        <v>164</v>
      </c>
      <c r="D30">
        <v>117691</v>
      </c>
      <c r="E30">
        <v>327.52968192758738</v>
      </c>
    </row>
    <row r="31" spans="1:5" x14ac:dyDescent="0.2">
      <c r="A31" t="s">
        <v>272</v>
      </c>
      <c r="B31" t="s">
        <v>165</v>
      </c>
      <c r="C31" t="s">
        <v>101</v>
      </c>
      <c r="D31">
        <v>114007</v>
      </c>
      <c r="E31">
        <v>201.12096096588814</v>
      </c>
    </row>
    <row r="32" spans="1:5" x14ac:dyDescent="0.2">
      <c r="A32" t="s">
        <v>273</v>
      </c>
      <c r="B32" t="s">
        <v>166</v>
      </c>
      <c r="C32" t="s">
        <v>167</v>
      </c>
      <c r="D32">
        <v>113089</v>
      </c>
      <c r="E32">
        <v>113.30746656541538</v>
      </c>
    </row>
    <row r="33" spans="1:5" x14ac:dyDescent="0.2">
      <c r="A33" t="s">
        <v>274</v>
      </c>
      <c r="B33" t="s">
        <v>168</v>
      </c>
      <c r="C33" t="s">
        <v>169</v>
      </c>
      <c r="D33">
        <v>110141</v>
      </c>
      <c r="E33">
        <v>390.2011148539849</v>
      </c>
    </row>
    <row r="34" spans="1:5" x14ac:dyDescent="0.2">
      <c r="A34" t="s">
        <v>275</v>
      </c>
      <c r="B34" t="s">
        <v>138</v>
      </c>
      <c r="C34" t="s">
        <v>170</v>
      </c>
      <c r="D34">
        <v>106560</v>
      </c>
      <c r="E34">
        <v>111.2357011218259</v>
      </c>
    </row>
    <row r="35" spans="1:5" x14ac:dyDescent="0.2">
      <c r="A35" t="s">
        <v>276</v>
      </c>
      <c r="B35" t="s">
        <v>171</v>
      </c>
      <c r="C35" t="s">
        <v>172</v>
      </c>
      <c r="D35">
        <v>106316</v>
      </c>
      <c r="E35">
        <v>7.6964103603253706</v>
      </c>
    </row>
    <row r="36" spans="1:5" x14ac:dyDescent="0.2">
      <c r="A36" t="s">
        <v>277</v>
      </c>
      <c r="B36" t="s">
        <v>173</v>
      </c>
      <c r="C36" t="s">
        <v>76</v>
      </c>
      <c r="D36">
        <v>105096</v>
      </c>
      <c r="E36">
        <v>686.72822468757397</v>
      </c>
    </row>
    <row r="37" spans="1:5" x14ac:dyDescent="0.2">
      <c r="A37" t="s">
        <v>278</v>
      </c>
      <c r="B37" t="s">
        <v>174</v>
      </c>
      <c r="C37" t="s">
        <v>91</v>
      </c>
      <c r="D37">
        <v>103552</v>
      </c>
      <c r="E37">
        <v>282.82539339129386</v>
      </c>
    </row>
    <row r="38" spans="1:5" x14ac:dyDescent="0.2">
      <c r="A38" t="s">
        <v>279</v>
      </c>
      <c r="B38" t="s">
        <v>135</v>
      </c>
      <c r="C38" t="s">
        <v>105</v>
      </c>
      <c r="D38">
        <v>96959</v>
      </c>
      <c r="E38">
        <v>211.97358185176518</v>
      </c>
    </row>
    <row r="39" spans="1:5" x14ac:dyDescent="0.2">
      <c r="A39" t="s">
        <v>280</v>
      </c>
      <c r="B39" t="s">
        <v>175</v>
      </c>
      <c r="C39" t="s">
        <v>64</v>
      </c>
      <c r="D39">
        <v>93932</v>
      </c>
      <c r="E39">
        <v>12.067762240391742</v>
      </c>
    </row>
    <row r="40" spans="1:5" x14ac:dyDescent="0.2">
      <c r="A40" t="s">
        <v>281</v>
      </c>
      <c r="B40" t="s">
        <v>135</v>
      </c>
      <c r="C40" t="s">
        <v>176</v>
      </c>
      <c r="D40">
        <v>93531</v>
      </c>
      <c r="E40">
        <v>215.48563892867426</v>
      </c>
    </row>
    <row r="41" spans="1:5" x14ac:dyDescent="0.2">
      <c r="A41" t="s">
        <v>282</v>
      </c>
      <c r="B41" t="s">
        <v>177</v>
      </c>
      <c r="C41" t="s">
        <v>66</v>
      </c>
      <c r="D41">
        <v>90735</v>
      </c>
      <c r="E41">
        <v>8.2084174686975437</v>
      </c>
    </row>
    <row r="42" spans="1:5" x14ac:dyDescent="0.2">
      <c r="A42" t="s">
        <v>283</v>
      </c>
      <c r="B42" t="s">
        <v>177</v>
      </c>
      <c r="C42" t="s">
        <v>178</v>
      </c>
      <c r="D42">
        <v>85994</v>
      </c>
      <c r="E42">
        <v>7.6314758737736552</v>
      </c>
    </row>
    <row r="43" spans="1:5" x14ac:dyDescent="0.2">
      <c r="A43" t="s">
        <v>284</v>
      </c>
      <c r="B43" t="s">
        <v>179</v>
      </c>
      <c r="C43" t="s">
        <v>83</v>
      </c>
      <c r="D43">
        <v>85937</v>
      </c>
      <c r="E43">
        <v>580.51260640520047</v>
      </c>
    </row>
    <row r="44" spans="1:5" x14ac:dyDescent="0.2">
      <c r="A44" t="s">
        <v>285</v>
      </c>
      <c r="B44" t="s">
        <v>180</v>
      </c>
      <c r="C44" t="s">
        <v>181</v>
      </c>
      <c r="D44">
        <v>85761</v>
      </c>
      <c r="E44">
        <v>17.369851030940623</v>
      </c>
    </row>
    <row r="45" spans="1:5" x14ac:dyDescent="0.2">
      <c r="A45" t="s">
        <v>286</v>
      </c>
      <c r="B45" t="s">
        <v>171</v>
      </c>
      <c r="C45" t="s">
        <v>103</v>
      </c>
      <c r="D45">
        <v>84270</v>
      </c>
      <c r="E45">
        <v>10.206081484597751</v>
      </c>
    </row>
    <row r="46" spans="1:5" x14ac:dyDescent="0.2">
      <c r="A46" t="s">
        <v>287</v>
      </c>
      <c r="B46" t="s">
        <v>182</v>
      </c>
      <c r="C46" t="s">
        <v>183</v>
      </c>
      <c r="D46">
        <v>83507</v>
      </c>
      <c r="E46">
        <v>293.53102421503036</v>
      </c>
    </row>
    <row r="47" spans="1:5" x14ac:dyDescent="0.2">
      <c r="A47" t="s">
        <v>288</v>
      </c>
      <c r="B47" t="s">
        <v>184</v>
      </c>
      <c r="C47" t="s">
        <v>185</v>
      </c>
      <c r="D47">
        <v>81786</v>
      </c>
      <c r="E47">
        <v>12.3483403814563</v>
      </c>
    </row>
    <row r="48" spans="1:5" x14ac:dyDescent="0.2">
      <c r="A48" t="s">
        <v>289</v>
      </c>
      <c r="B48" t="s">
        <v>177</v>
      </c>
      <c r="C48" t="s">
        <v>186</v>
      </c>
      <c r="D48">
        <v>80030</v>
      </c>
      <c r="E48">
        <v>14.768188902135261</v>
      </c>
    </row>
    <row r="49" spans="1:5" x14ac:dyDescent="0.2">
      <c r="A49" t="s">
        <v>290</v>
      </c>
      <c r="B49" t="s">
        <v>184</v>
      </c>
      <c r="C49" t="s">
        <v>187</v>
      </c>
      <c r="D49">
        <v>78908</v>
      </c>
      <c r="E49">
        <v>9.2947175038699807</v>
      </c>
    </row>
    <row r="50" spans="1:5" x14ac:dyDescent="0.2">
      <c r="A50" t="s">
        <v>291</v>
      </c>
      <c r="B50" t="s">
        <v>188</v>
      </c>
      <c r="C50" t="s">
        <v>189</v>
      </c>
      <c r="D50">
        <v>78800</v>
      </c>
      <c r="E50">
        <v>650.05760579658659</v>
      </c>
    </row>
    <row r="51" spans="1:5" x14ac:dyDescent="0.2">
      <c r="A51" t="s">
        <v>292</v>
      </c>
      <c r="B51" t="s">
        <v>190</v>
      </c>
      <c r="C51" t="s">
        <v>191</v>
      </c>
      <c r="D51">
        <v>77317</v>
      </c>
      <c r="E51">
        <v>234.53897191520508</v>
      </c>
    </row>
    <row r="52" spans="1:5" x14ac:dyDescent="0.2">
      <c r="A52" t="s">
        <v>293</v>
      </c>
      <c r="B52" t="s">
        <v>192</v>
      </c>
      <c r="C52" t="s">
        <v>193</v>
      </c>
      <c r="D52">
        <v>76711</v>
      </c>
      <c r="E52">
        <v>400.02685556472153</v>
      </c>
    </row>
    <row r="53" spans="1:5" x14ac:dyDescent="0.2">
      <c r="A53" t="s">
        <v>294</v>
      </c>
      <c r="B53" t="s">
        <v>171</v>
      </c>
      <c r="C53" t="s">
        <v>194</v>
      </c>
      <c r="D53">
        <v>76690</v>
      </c>
      <c r="E53">
        <v>9.3523975726005961</v>
      </c>
    </row>
    <row r="54" spans="1:5" x14ac:dyDescent="0.2">
      <c r="A54" t="s">
        <v>295</v>
      </c>
      <c r="B54" t="s">
        <v>171</v>
      </c>
      <c r="C54" t="s">
        <v>195</v>
      </c>
      <c r="D54">
        <v>75832</v>
      </c>
      <c r="E54">
        <v>6.8482963017388183</v>
      </c>
    </row>
    <row r="55" spans="1:5" x14ac:dyDescent="0.2">
      <c r="A55" t="s">
        <v>296</v>
      </c>
      <c r="B55" t="s">
        <v>184</v>
      </c>
      <c r="C55" t="s">
        <v>75</v>
      </c>
      <c r="D55">
        <v>74232</v>
      </c>
      <c r="E55">
        <v>14.199052476589118</v>
      </c>
    </row>
    <row r="56" spans="1:5" x14ac:dyDescent="0.2">
      <c r="A56" t="s">
        <v>297</v>
      </c>
      <c r="B56" t="s">
        <v>171</v>
      </c>
      <c r="C56" t="s">
        <v>196</v>
      </c>
      <c r="D56">
        <v>73599</v>
      </c>
      <c r="E56">
        <v>11.684840500635062</v>
      </c>
    </row>
    <row r="57" spans="1:5" x14ac:dyDescent="0.2">
      <c r="A57" t="s">
        <v>298</v>
      </c>
      <c r="B57" t="s">
        <v>184</v>
      </c>
      <c r="C57" t="s">
        <v>197</v>
      </c>
      <c r="D57">
        <v>73071</v>
      </c>
      <c r="E57">
        <v>13.557313017034472</v>
      </c>
    </row>
    <row r="58" spans="1:5" x14ac:dyDescent="0.2">
      <c r="A58" t="s">
        <v>299</v>
      </c>
      <c r="B58" t="s">
        <v>128</v>
      </c>
      <c r="C58" t="s">
        <v>59</v>
      </c>
      <c r="D58">
        <v>72454</v>
      </c>
      <c r="E58">
        <v>691.95393567495569</v>
      </c>
    </row>
    <row r="59" spans="1:5" x14ac:dyDescent="0.2">
      <c r="A59" t="s">
        <v>300</v>
      </c>
      <c r="B59" t="s">
        <v>198</v>
      </c>
      <c r="C59" t="s">
        <v>199</v>
      </c>
      <c r="D59">
        <v>72434</v>
      </c>
      <c r="E59">
        <v>198.8354545554879</v>
      </c>
    </row>
    <row r="60" spans="1:5" x14ac:dyDescent="0.2">
      <c r="A60" t="s">
        <v>301</v>
      </c>
      <c r="B60" t="s">
        <v>135</v>
      </c>
      <c r="C60" t="s">
        <v>200</v>
      </c>
      <c r="D60">
        <v>70834</v>
      </c>
      <c r="E60">
        <v>241.15263067058089</v>
      </c>
    </row>
    <row r="61" spans="1:5" x14ac:dyDescent="0.2">
      <c r="A61" t="s">
        <v>302</v>
      </c>
      <c r="B61" t="s">
        <v>171</v>
      </c>
      <c r="C61" t="s">
        <v>201</v>
      </c>
      <c r="D61">
        <v>69665</v>
      </c>
      <c r="E61">
        <v>7.1278136073024516</v>
      </c>
    </row>
    <row r="62" spans="1:5" x14ac:dyDescent="0.2">
      <c r="A62" t="s">
        <v>303</v>
      </c>
      <c r="B62" t="s">
        <v>132</v>
      </c>
      <c r="C62" t="s">
        <v>202</v>
      </c>
      <c r="D62">
        <v>69359</v>
      </c>
      <c r="E62">
        <v>616.89131336362379</v>
      </c>
    </row>
    <row r="63" spans="1:5" x14ac:dyDescent="0.2">
      <c r="A63" t="s">
        <v>304</v>
      </c>
      <c r="B63" t="s">
        <v>128</v>
      </c>
      <c r="C63" t="s">
        <v>203</v>
      </c>
      <c r="D63">
        <v>67406</v>
      </c>
      <c r="E63">
        <v>691.17207411911841</v>
      </c>
    </row>
    <row r="64" spans="1:5" x14ac:dyDescent="0.2">
      <c r="A64" t="s">
        <v>305</v>
      </c>
      <c r="B64" t="s">
        <v>129</v>
      </c>
      <c r="C64" t="s">
        <v>204</v>
      </c>
      <c r="D64">
        <v>65868</v>
      </c>
      <c r="E64">
        <v>384.57006281010888</v>
      </c>
    </row>
    <row r="65" spans="1:5" x14ac:dyDescent="0.2">
      <c r="A65" t="s">
        <v>306</v>
      </c>
      <c r="B65" t="s">
        <v>168</v>
      </c>
      <c r="C65" t="s">
        <v>205</v>
      </c>
      <c r="D65">
        <v>65118</v>
      </c>
      <c r="E65">
        <v>382.37627555905448</v>
      </c>
    </row>
    <row r="66" spans="1:5" x14ac:dyDescent="0.2">
      <c r="A66" t="s">
        <v>307</v>
      </c>
      <c r="B66" t="s">
        <v>135</v>
      </c>
      <c r="C66" t="s">
        <v>95</v>
      </c>
      <c r="D66">
        <v>64997</v>
      </c>
      <c r="E66">
        <v>205.46440486359211</v>
      </c>
    </row>
    <row r="67" spans="1:5" x14ac:dyDescent="0.2">
      <c r="A67" t="s">
        <v>308</v>
      </c>
      <c r="B67" t="s">
        <v>206</v>
      </c>
      <c r="C67" t="s">
        <v>207</v>
      </c>
      <c r="D67">
        <v>64222</v>
      </c>
      <c r="E67">
        <v>479.94343562467628</v>
      </c>
    </row>
    <row r="68" spans="1:5" x14ac:dyDescent="0.2">
      <c r="A68" t="s">
        <v>309</v>
      </c>
      <c r="B68" t="s">
        <v>149</v>
      </c>
      <c r="C68" t="s">
        <v>61</v>
      </c>
      <c r="D68">
        <v>63274</v>
      </c>
      <c r="E68">
        <v>485.13017750260622</v>
      </c>
    </row>
    <row r="69" spans="1:5" x14ac:dyDescent="0.2">
      <c r="A69" t="s">
        <v>310</v>
      </c>
      <c r="B69" t="s">
        <v>177</v>
      </c>
      <c r="C69" t="s">
        <v>104</v>
      </c>
      <c r="D69">
        <v>63130</v>
      </c>
      <c r="E69">
        <v>6.5443731980748492</v>
      </c>
    </row>
    <row r="70" spans="1:5" x14ac:dyDescent="0.2">
      <c r="A70" t="s">
        <v>311</v>
      </c>
      <c r="B70" t="s">
        <v>177</v>
      </c>
      <c r="C70" t="s">
        <v>208</v>
      </c>
      <c r="D70">
        <v>62271</v>
      </c>
      <c r="E70">
        <v>10.448147844320731</v>
      </c>
    </row>
    <row r="71" spans="1:5" x14ac:dyDescent="0.2">
      <c r="A71" t="s">
        <v>312</v>
      </c>
      <c r="B71" t="s">
        <v>133</v>
      </c>
      <c r="C71" t="s">
        <v>209</v>
      </c>
      <c r="D71">
        <v>61990</v>
      </c>
      <c r="E71">
        <v>503.61501969755636</v>
      </c>
    </row>
    <row r="72" spans="1:5" x14ac:dyDescent="0.2">
      <c r="A72" t="s">
        <v>313</v>
      </c>
      <c r="B72" t="s">
        <v>210</v>
      </c>
      <c r="C72" t="s">
        <v>211</v>
      </c>
      <c r="D72">
        <v>60903</v>
      </c>
      <c r="E72">
        <v>143.10766811295673</v>
      </c>
    </row>
    <row r="73" spans="1:5" x14ac:dyDescent="0.2">
      <c r="A73" t="s">
        <v>314</v>
      </c>
      <c r="B73" t="s">
        <v>143</v>
      </c>
      <c r="C73" t="s">
        <v>93</v>
      </c>
      <c r="D73">
        <v>60070</v>
      </c>
      <c r="E73">
        <v>697.65844557822027</v>
      </c>
    </row>
    <row r="74" spans="1:5" x14ac:dyDescent="0.2">
      <c r="A74" t="s">
        <v>315</v>
      </c>
      <c r="B74" t="s">
        <v>171</v>
      </c>
      <c r="C74" t="s">
        <v>92</v>
      </c>
      <c r="D74">
        <v>59874</v>
      </c>
      <c r="E74">
        <v>5.7152269032865446</v>
      </c>
    </row>
    <row r="75" spans="1:5" x14ac:dyDescent="0.2">
      <c r="A75" t="s">
        <v>316</v>
      </c>
      <c r="B75" t="s">
        <v>171</v>
      </c>
      <c r="C75" t="s">
        <v>212</v>
      </c>
      <c r="D75">
        <v>59849</v>
      </c>
      <c r="E75">
        <v>12.779057031119168</v>
      </c>
    </row>
    <row r="76" spans="1:5" x14ac:dyDescent="0.2">
      <c r="A76" t="s">
        <v>317</v>
      </c>
      <c r="B76" t="s">
        <v>213</v>
      </c>
      <c r="C76" t="s">
        <v>214</v>
      </c>
      <c r="D76">
        <v>59224</v>
      </c>
      <c r="E76">
        <v>441.47648076584954</v>
      </c>
    </row>
    <row r="77" spans="1:5" x14ac:dyDescent="0.2">
      <c r="A77" t="s">
        <v>318</v>
      </c>
      <c r="B77" t="s">
        <v>215</v>
      </c>
      <c r="C77" t="s">
        <v>216</v>
      </c>
      <c r="D77">
        <v>59049</v>
      </c>
      <c r="E77">
        <v>129.10524655476485</v>
      </c>
    </row>
    <row r="78" spans="1:5" x14ac:dyDescent="0.2">
      <c r="A78" t="s">
        <v>319</v>
      </c>
      <c r="B78" t="s">
        <v>177</v>
      </c>
      <c r="C78" t="s">
        <v>217</v>
      </c>
      <c r="D78">
        <v>58193</v>
      </c>
      <c r="E78">
        <v>17.000321122066492</v>
      </c>
    </row>
    <row r="79" spans="1:5" x14ac:dyDescent="0.2">
      <c r="A79" t="s">
        <v>320</v>
      </c>
      <c r="B79" t="s">
        <v>175</v>
      </c>
      <c r="C79" t="s">
        <v>218</v>
      </c>
      <c r="D79">
        <v>57851</v>
      </c>
      <c r="E79">
        <v>14.572851747864364</v>
      </c>
    </row>
    <row r="80" spans="1:5" x14ac:dyDescent="0.2">
      <c r="A80" t="s">
        <v>321</v>
      </c>
      <c r="B80" t="s">
        <v>219</v>
      </c>
      <c r="C80" t="s">
        <v>220</v>
      </c>
      <c r="D80">
        <v>56661</v>
      </c>
      <c r="E80">
        <v>351.78999804631945</v>
      </c>
    </row>
    <row r="81" spans="1:5" x14ac:dyDescent="0.2">
      <c r="A81" t="s">
        <v>322</v>
      </c>
      <c r="B81" t="s">
        <v>133</v>
      </c>
      <c r="C81" t="s">
        <v>57</v>
      </c>
      <c r="D81">
        <v>56151</v>
      </c>
      <c r="E81">
        <v>507.49280636091549</v>
      </c>
    </row>
    <row r="82" spans="1:5" x14ac:dyDescent="0.2">
      <c r="A82" t="s">
        <v>323</v>
      </c>
      <c r="B82" t="s">
        <v>126</v>
      </c>
      <c r="C82" t="s">
        <v>221</v>
      </c>
      <c r="D82">
        <v>56014</v>
      </c>
      <c r="E82">
        <v>400.45204269292424</v>
      </c>
    </row>
    <row r="83" spans="1:5" x14ac:dyDescent="0.2">
      <c r="A83" t="s">
        <v>324</v>
      </c>
      <c r="B83" t="s">
        <v>222</v>
      </c>
      <c r="C83" t="s">
        <v>223</v>
      </c>
      <c r="D83">
        <v>55762</v>
      </c>
      <c r="E83">
        <v>453.92452517987658</v>
      </c>
    </row>
    <row r="84" spans="1:5" x14ac:dyDescent="0.2">
      <c r="A84" t="s">
        <v>325</v>
      </c>
      <c r="B84" t="s">
        <v>224</v>
      </c>
      <c r="C84" t="s">
        <v>72</v>
      </c>
      <c r="D84">
        <v>55481</v>
      </c>
      <c r="E84">
        <v>200.65382327311011</v>
      </c>
    </row>
    <row r="85" spans="1:5" x14ac:dyDescent="0.2">
      <c r="A85" t="s">
        <v>326</v>
      </c>
      <c r="B85" t="s">
        <v>225</v>
      </c>
      <c r="C85" t="s">
        <v>89</v>
      </c>
      <c r="D85">
        <v>55371</v>
      </c>
      <c r="E85">
        <v>66.384469796133544</v>
      </c>
    </row>
    <row r="86" spans="1:5" x14ac:dyDescent="0.2">
      <c r="A86" t="s">
        <v>327</v>
      </c>
      <c r="B86" t="s">
        <v>175</v>
      </c>
      <c r="C86" t="s">
        <v>226</v>
      </c>
      <c r="D86">
        <v>54816</v>
      </c>
      <c r="E86">
        <v>28.753288343537495</v>
      </c>
    </row>
    <row r="87" spans="1:5" x14ac:dyDescent="0.2">
      <c r="A87" t="s">
        <v>328</v>
      </c>
      <c r="B87" t="s">
        <v>171</v>
      </c>
      <c r="C87" t="s">
        <v>227</v>
      </c>
      <c r="D87">
        <v>54750</v>
      </c>
      <c r="E87">
        <v>5.1137627131512708</v>
      </c>
    </row>
    <row r="88" spans="1:5" x14ac:dyDescent="0.2">
      <c r="A88" t="s">
        <v>329</v>
      </c>
      <c r="B88" t="s">
        <v>147</v>
      </c>
      <c r="C88" t="s">
        <v>228</v>
      </c>
      <c r="D88">
        <v>54215</v>
      </c>
      <c r="E88">
        <v>313.73366680394321</v>
      </c>
    </row>
    <row r="89" spans="1:5" x14ac:dyDescent="0.2">
      <c r="A89" t="s">
        <v>330</v>
      </c>
      <c r="B89" t="s">
        <v>229</v>
      </c>
      <c r="C89" t="s">
        <v>100</v>
      </c>
      <c r="D89">
        <v>52851</v>
      </c>
      <c r="E89">
        <v>916.42625466991728</v>
      </c>
    </row>
    <row r="90" spans="1:5" x14ac:dyDescent="0.2">
      <c r="A90" t="s">
        <v>331</v>
      </c>
      <c r="B90" t="s">
        <v>171</v>
      </c>
      <c r="C90" t="s">
        <v>230</v>
      </c>
      <c r="D90">
        <v>52642</v>
      </c>
      <c r="E90">
        <v>6.836121648583763</v>
      </c>
    </row>
    <row r="91" spans="1:5" x14ac:dyDescent="0.2">
      <c r="A91" t="s">
        <v>332</v>
      </c>
      <c r="B91" t="s">
        <v>231</v>
      </c>
      <c r="C91" t="s">
        <v>90</v>
      </c>
      <c r="D91">
        <v>51889</v>
      </c>
      <c r="E91">
        <v>543.20378248791098</v>
      </c>
    </row>
    <row r="92" spans="1:5" x14ac:dyDescent="0.2">
      <c r="A92" t="s">
        <v>333</v>
      </c>
      <c r="B92" t="s">
        <v>213</v>
      </c>
      <c r="C92" t="s">
        <v>98</v>
      </c>
      <c r="D92">
        <v>51759</v>
      </c>
      <c r="E92">
        <v>401.03691955256932</v>
      </c>
    </row>
    <row r="93" spans="1:5" x14ac:dyDescent="0.2">
      <c r="A93" t="s">
        <v>334</v>
      </c>
      <c r="B93" t="s">
        <v>143</v>
      </c>
      <c r="C93" t="s">
        <v>67</v>
      </c>
      <c r="D93">
        <v>51412</v>
      </c>
      <c r="E93">
        <v>706.25214950742838</v>
      </c>
    </row>
    <row r="94" spans="1:5" x14ac:dyDescent="0.2">
      <c r="A94" t="s">
        <v>335</v>
      </c>
      <c r="B94" t="s">
        <v>232</v>
      </c>
      <c r="C94" t="s">
        <v>233</v>
      </c>
      <c r="D94">
        <v>51159</v>
      </c>
      <c r="E94">
        <v>89.252171403787131</v>
      </c>
    </row>
    <row r="95" spans="1:5" x14ac:dyDescent="0.2">
      <c r="A95" t="s">
        <v>336</v>
      </c>
      <c r="B95" t="s">
        <v>184</v>
      </c>
      <c r="C95" t="s">
        <v>234</v>
      </c>
      <c r="D95">
        <v>51091</v>
      </c>
      <c r="E95">
        <v>9.7501078427911647</v>
      </c>
    </row>
    <row r="96" spans="1:5" x14ac:dyDescent="0.2">
      <c r="A96" t="s">
        <v>337</v>
      </c>
      <c r="B96" t="s">
        <v>235</v>
      </c>
      <c r="C96" t="s">
        <v>236</v>
      </c>
      <c r="D96">
        <v>50956</v>
      </c>
      <c r="E96">
        <v>246.12757183850542</v>
      </c>
    </row>
    <row r="97" spans="1:5" x14ac:dyDescent="0.2">
      <c r="A97" t="s">
        <v>338</v>
      </c>
      <c r="B97" t="s">
        <v>184</v>
      </c>
      <c r="C97" t="s">
        <v>74</v>
      </c>
      <c r="D97">
        <v>50951</v>
      </c>
      <c r="E97">
        <v>6.7071257215232949</v>
      </c>
    </row>
    <row r="98" spans="1:5" x14ac:dyDescent="0.2">
      <c r="A98" t="s">
        <v>339</v>
      </c>
      <c r="B98" t="s">
        <v>184</v>
      </c>
      <c r="C98" t="s">
        <v>82</v>
      </c>
      <c r="D98">
        <v>50865</v>
      </c>
      <c r="E98">
        <v>10.182699963345929</v>
      </c>
    </row>
    <row r="99" spans="1:5" x14ac:dyDescent="0.2">
      <c r="A99" t="s">
        <v>340</v>
      </c>
      <c r="B99" t="s">
        <v>137</v>
      </c>
      <c r="C99" t="s">
        <v>237</v>
      </c>
      <c r="D99">
        <v>50697</v>
      </c>
      <c r="E99">
        <v>318.36503641274351</v>
      </c>
    </row>
    <row r="100" spans="1:5" x14ac:dyDescent="0.2">
      <c r="A100" t="s">
        <v>341</v>
      </c>
      <c r="B100" t="s">
        <v>124</v>
      </c>
      <c r="C100" t="s">
        <v>238</v>
      </c>
      <c r="D100">
        <v>50467</v>
      </c>
      <c r="E100">
        <v>617.45738659779397</v>
      </c>
    </row>
    <row r="101" spans="1:5" x14ac:dyDescent="0.2">
      <c r="A101" t="s">
        <v>342</v>
      </c>
      <c r="B101" t="s">
        <v>239</v>
      </c>
      <c r="C101" t="s">
        <v>240</v>
      </c>
      <c r="D101">
        <v>50406</v>
      </c>
      <c r="E101">
        <v>361.01001902337629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3D12-8899-7B41-8310-C74B8476E300}">
  <sheetPr>
    <tabColor theme="4" tint="0.79998168889431442"/>
  </sheetPr>
  <dimension ref="A3:I38"/>
  <sheetViews>
    <sheetView workbookViewId="0">
      <selection activeCell="G25" sqref="G25"/>
    </sheetView>
  </sheetViews>
  <sheetFormatPr baseColWidth="10" defaultRowHeight="16" x14ac:dyDescent="0.2"/>
  <cols>
    <col min="1" max="1" width="24.33203125" bestFit="1" customWidth="1"/>
    <col min="2" max="2" width="20" customWidth="1"/>
    <col min="3" max="3" width="14.83203125" customWidth="1"/>
    <col min="4" max="4" width="14.5" customWidth="1"/>
    <col min="5" max="5" width="14.1640625" customWidth="1"/>
    <col min="6" max="6" width="14.5" customWidth="1"/>
    <col min="7" max="7" width="14" customWidth="1"/>
    <col min="8" max="8" width="17.6640625" customWidth="1"/>
    <col min="9" max="9" width="15" customWidth="1"/>
  </cols>
  <sheetData>
    <row r="3" spans="1:9" x14ac:dyDescent="0.2">
      <c r="A3" s="12"/>
      <c r="B3" s="26" t="s">
        <v>401</v>
      </c>
      <c r="C3" s="12"/>
      <c r="D3" s="12"/>
      <c r="E3" s="12"/>
      <c r="F3" s="12"/>
      <c r="G3" s="12"/>
      <c r="H3" s="12"/>
      <c r="I3" s="12"/>
    </row>
    <row r="4" spans="1:9" x14ac:dyDescent="0.2">
      <c r="A4" s="12"/>
      <c r="B4" s="30" t="s">
        <v>60</v>
      </c>
      <c r="C4" s="31"/>
      <c r="D4" s="30" t="s">
        <v>58</v>
      </c>
      <c r="E4" s="31"/>
      <c r="F4" s="30" t="s">
        <v>62</v>
      </c>
      <c r="G4" s="31"/>
      <c r="H4" s="30" t="s">
        <v>397</v>
      </c>
      <c r="I4" s="30" t="s">
        <v>399</v>
      </c>
    </row>
    <row r="5" spans="1:9" ht="17" x14ac:dyDescent="0.2">
      <c r="A5" s="26" t="s">
        <v>402</v>
      </c>
      <c r="B5" s="27" t="s">
        <v>398</v>
      </c>
      <c r="C5" s="27" t="s">
        <v>400</v>
      </c>
      <c r="D5" s="27" t="s">
        <v>398</v>
      </c>
      <c r="E5" s="27" t="s">
        <v>400</v>
      </c>
      <c r="F5" s="27" t="s">
        <v>398</v>
      </c>
      <c r="G5" s="27" t="s">
        <v>400</v>
      </c>
      <c r="H5" s="31"/>
      <c r="I5" s="31"/>
    </row>
    <row r="6" spans="1:9" x14ac:dyDescent="0.2">
      <c r="A6" s="25" t="s">
        <v>9</v>
      </c>
      <c r="B6" s="32">
        <v>2</v>
      </c>
      <c r="C6" s="13">
        <v>1423.9190610308328</v>
      </c>
      <c r="D6" s="32">
        <v>2</v>
      </c>
      <c r="E6" s="13">
        <v>28.398104953178237</v>
      </c>
      <c r="F6" s="32">
        <v>1</v>
      </c>
      <c r="G6" s="13">
        <v>406.90584632466727</v>
      </c>
      <c r="H6" s="32">
        <v>5</v>
      </c>
      <c r="I6" s="13">
        <v>662.30803565853785</v>
      </c>
    </row>
    <row r="7" spans="1:9" x14ac:dyDescent="0.2">
      <c r="A7" s="25" t="s">
        <v>14</v>
      </c>
      <c r="B7" s="32"/>
      <c r="C7" s="13"/>
      <c r="D7" s="32">
        <v>1</v>
      </c>
      <c r="E7" s="13">
        <v>1373.4564493751479</v>
      </c>
      <c r="F7" s="32">
        <v>3</v>
      </c>
      <c r="G7" s="13">
        <v>463.97780049270818</v>
      </c>
      <c r="H7" s="32">
        <v>4</v>
      </c>
      <c r="I7" s="13">
        <v>691.34746271331801</v>
      </c>
    </row>
    <row r="8" spans="1:9" x14ac:dyDescent="0.2">
      <c r="A8" s="25" t="s">
        <v>17</v>
      </c>
      <c r="B8" s="32">
        <v>1</v>
      </c>
      <c r="C8" s="13">
        <v>567.5087752446691</v>
      </c>
      <c r="D8" s="32">
        <v>1</v>
      </c>
      <c r="E8" s="13">
        <v>1179.012942276431</v>
      </c>
      <c r="F8" s="32">
        <v>4</v>
      </c>
      <c r="G8" s="13">
        <v>369.12063808729783</v>
      </c>
      <c r="H8" s="32">
        <v>6</v>
      </c>
      <c r="I8" s="13">
        <v>537.1673783117152</v>
      </c>
    </row>
    <row r="9" spans="1:9" x14ac:dyDescent="0.2">
      <c r="A9" s="25" t="s">
        <v>16</v>
      </c>
      <c r="B9" s="32"/>
      <c r="C9" s="13"/>
      <c r="D9" s="32"/>
      <c r="E9" s="13"/>
      <c r="F9" s="32">
        <v>3</v>
      </c>
      <c r="G9" s="13">
        <v>477.38490426795141</v>
      </c>
      <c r="H9" s="32">
        <v>3</v>
      </c>
      <c r="I9" s="13">
        <v>477.38490426795141</v>
      </c>
    </row>
    <row r="10" spans="1:9" x14ac:dyDescent="0.2">
      <c r="A10" s="25" t="s">
        <v>10</v>
      </c>
      <c r="B10" s="32">
        <v>2</v>
      </c>
      <c r="C10" s="13">
        <v>488.28979825488597</v>
      </c>
      <c r="D10" s="32">
        <v>1</v>
      </c>
      <c r="E10" s="13">
        <v>24.135524480783484</v>
      </c>
      <c r="F10" s="32">
        <v>2</v>
      </c>
      <c r="G10" s="13">
        <v>1301.5435041160792</v>
      </c>
      <c r="H10" s="32">
        <v>5</v>
      </c>
      <c r="I10" s="13">
        <v>720.76042584454285</v>
      </c>
    </row>
    <row r="11" spans="1:9" x14ac:dyDescent="0.2">
      <c r="A11" s="25" t="s">
        <v>15</v>
      </c>
      <c r="B11" s="32">
        <v>2</v>
      </c>
      <c r="C11" s="13">
        <v>1383.9078713499114</v>
      </c>
      <c r="D11" s="32"/>
      <c r="E11" s="13"/>
      <c r="F11" s="32">
        <v>3</v>
      </c>
      <c r="G11" s="13">
        <v>354.90076415762269</v>
      </c>
      <c r="H11" s="32">
        <v>5</v>
      </c>
      <c r="I11" s="13">
        <v>766.50360703453828</v>
      </c>
    </row>
    <row r="12" spans="1:9" x14ac:dyDescent="0.2">
      <c r="A12" s="25" t="s">
        <v>6</v>
      </c>
      <c r="B12" s="32"/>
      <c r="C12" s="13"/>
      <c r="D12" s="32"/>
      <c r="E12" s="13"/>
      <c r="F12" s="32">
        <v>2</v>
      </c>
      <c r="G12" s="13">
        <v>807.38917506519817</v>
      </c>
      <c r="H12" s="32">
        <v>2</v>
      </c>
      <c r="I12" s="13">
        <v>807.38917506519817</v>
      </c>
    </row>
    <row r="13" spans="1:9" x14ac:dyDescent="0.2">
      <c r="A13" s="25" t="s">
        <v>11</v>
      </c>
      <c r="B13" s="32"/>
      <c r="C13" s="13"/>
      <c r="D13" s="32">
        <v>6</v>
      </c>
      <c r="E13" s="13">
        <v>268.80144398028591</v>
      </c>
      <c r="F13" s="32">
        <v>1</v>
      </c>
      <c r="G13" s="13">
        <v>1371.1717374786563</v>
      </c>
      <c r="H13" s="32">
        <v>7</v>
      </c>
      <c r="I13" s="13">
        <v>426.28291448005308</v>
      </c>
    </row>
    <row r="14" spans="1:9" x14ac:dyDescent="0.2">
      <c r="A14" s="25" t="s">
        <v>12</v>
      </c>
      <c r="B14" s="32"/>
      <c r="C14" s="13"/>
      <c r="D14" s="32">
        <v>1</v>
      </c>
      <c r="E14" s="13">
        <v>1161.0252128104009</v>
      </c>
      <c r="F14" s="32">
        <v>3</v>
      </c>
      <c r="G14" s="13">
        <v>873.77929798836976</v>
      </c>
      <c r="H14" s="32">
        <v>4</v>
      </c>
      <c r="I14" s="13">
        <v>945.59077669387761</v>
      </c>
    </row>
    <row r="15" spans="1:9" x14ac:dyDescent="0.2">
      <c r="A15" s="25" t="s">
        <v>8</v>
      </c>
      <c r="B15" s="32"/>
      <c r="C15" s="13"/>
      <c r="D15" s="32">
        <v>4</v>
      </c>
      <c r="E15" s="13">
        <v>596.90923166583661</v>
      </c>
      <c r="F15" s="32">
        <v>1</v>
      </c>
      <c r="G15" s="13">
        <v>132.76893959226709</v>
      </c>
      <c r="H15" s="32">
        <v>5</v>
      </c>
      <c r="I15" s="13">
        <v>504.08117325112272</v>
      </c>
    </row>
    <row r="16" spans="1:9" x14ac:dyDescent="0.2">
      <c r="A16" s="25" t="s">
        <v>396</v>
      </c>
      <c r="B16" s="32">
        <v>7</v>
      </c>
      <c r="C16" s="13">
        <v>1022.8203195022755</v>
      </c>
      <c r="D16" s="32">
        <v>16</v>
      </c>
      <c r="E16" s="13">
        <v>487.17949558713639</v>
      </c>
      <c r="F16" s="32">
        <v>23</v>
      </c>
      <c r="G16" s="13">
        <v>613.70968412292586</v>
      </c>
      <c r="H16" s="32">
        <v>46</v>
      </c>
      <c r="I16" s="13">
        <v>631.95515001603053</v>
      </c>
    </row>
    <row r="25" spans="1:9" x14ac:dyDescent="0.2">
      <c r="A25" s="12"/>
      <c r="B25" s="26" t="s">
        <v>409</v>
      </c>
      <c r="C25" s="12"/>
      <c r="D25" s="12"/>
      <c r="E25" s="12"/>
      <c r="F25" s="12"/>
      <c r="G25" s="12"/>
      <c r="H25" s="12"/>
      <c r="I25" s="12"/>
    </row>
    <row r="26" spans="1:9" x14ac:dyDescent="0.2">
      <c r="A26" s="12"/>
      <c r="B26" s="30" t="s">
        <v>60</v>
      </c>
      <c r="C26" s="31"/>
      <c r="D26" s="30" t="s">
        <v>58</v>
      </c>
      <c r="E26" s="31"/>
      <c r="F26" s="30" t="s">
        <v>62</v>
      </c>
      <c r="G26" s="31"/>
      <c r="H26" s="30" t="s">
        <v>405</v>
      </c>
      <c r="I26" s="30" t="s">
        <v>407</v>
      </c>
    </row>
    <row r="27" spans="1:9" ht="17" x14ac:dyDescent="0.2">
      <c r="A27" s="26" t="s">
        <v>410</v>
      </c>
      <c r="B27" s="27" t="s">
        <v>406</v>
      </c>
      <c r="C27" s="27" t="s">
        <v>408</v>
      </c>
      <c r="D27" s="27" t="s">
        <v>406</v>
      </c>
      <c r="E27" s="27" t="s">
        <v>408</v>
      </c>
      <c r="F27" s="27" t="s">
        <v>406</v>
      </c>
      <c r="G27" s="27" t="s">
        <v>408</v>
      </c>
      <c r="H27" s="31"/>
      <c r="I27" s="31"/>
    </row>
    <row r="28" spans="1:9" x14ac:dyDescent="0.2">
      <c r="A28" s="25" t="s">
        <v>9</v>
      </c>
      <c r="B28" s="28">
        <v>4.3478260869565216E-2</v>
      </c>
      <c r="C28" s="28">
        <v>9.1807873369119025E-2</v>
      </c>
      <c r="D28" s="28">
        <v>4.3478260869565216E-2</v>
      </c>
      <c r="E28" s="28">
        <v>3.6619632320630693E-5</v>
      </c>
      <c r="F28" s="28">
        <v>2.1739130434782608E-2</v>
      </c>
      <c r="G28" s="28">
        <v>2.0332475427887589E-2</v>
      </c>
      <c r="H28" s="28">
        <v>0.10869565217391304</v>
      </c>
      <c r="I28" s="28">
        <v>0.11217696842932723</v>
      </c>
    </row>
    <row r="29" spans="1:9" x14ac:dyDescent="0.2">
      <c r="A29" s="25" t="s">
        <v>14</v>
      </c>
      <c r="B29" s="28">
        <v>0</v>
      </c>
      <c r="C29" s="28">
        <v>0</v>
      </c>
      <c r="D29" s="28">
        <v>2.1739130434782608E-2</v>
      </c>
      <c r="E29" s="28">
        <v>8.8554271961882982E-4</v>
      </c>
      <c r="F29" s="28">
        <v>6.5217391304347824E-2</v>
      </c>
      <c r="G29" s="28">
        <v>0.11434980418592448</v>
      </c>
      <c r="H29" s="28">
        <v>8.6956521739130432E-2</v>
      </c>
      <c r="I29" s="28">
        <v>0.11523534690554332</v>
      </c>
    </row>
    <row r="30" spans="1:9" x14ac:dyDescent="0.2">
      <c r="A30" s="25" t="s">
        <v>17</v>
      </c>
      <c r="B30" s="28">
        <v>2.1739130434782608E-2</v>
      </c>
      <c r="C30" s="28">
        <v>1.8295202023564397E-2</v>
      </c>
      <c r="D30" s="28">
        <v>2.1739130434782608E-2</v>
      </c>
      <c r="E30" s="28">
        <v>7.6017432357921915E-4</v>
      </c>
      <c r="F30" s="28">
        <v>8.6956521739130432E-2</v>
      </c>
      <c r="G30" s="28">
        <v>0.10266196326735806</v>
      </c>
      <c r="H30" s="28">
        <v>0.13043478260869565</v>
      </c>
      <c r="I30" s="28">
        <v>0.12171733961450168</v>
      </c>
    </row>
    <row r="31" spans="1:9" x14ac:dyDescent="0.2">
      <c r="A31" s="25" t="s">
        <v>16</v>
      </c>
      <c r="B31" s="28">
        <v>0</v>
      </c>
      <c r="C31" s="28">
        <v>0</v>
      </c>
      <c r="D31" s="28">
        <v>0</v>
      </c>
      <c r="E31" s="28">
        <v>0</v>
      </c>
      <c r="F31" s="28">
        <v>6.5217391304347824E-2</v>
      </c>
      <c r="G31" s="28">
        <v>5.1590727113900274E-2</v>
      </c>
      <c r="H31" s="28">
        <v>6.5217391304347824E-2</v>
      </c>
      <c r="I31" s="28">
        <v>5.1590727113900274E-2</v>
      </c>
    </row>
    <row r="32" spans="1:9" x14ac:dyDescent="0.2">
      <c r="A32" s="25" t="s">
        <v>10</v>
      </c>
      <c r="B32" s="28">
        <v>4.3478260869565216E-2</v>
      </c>
      <c r="C32" s="28">
        <v>3.1482722011715911E-2</v>
      </c>
      <c r="D32" s="28">
        <v>2.1739130434782608E-2</v>
      </c>
      <c r="E32" s="28">
        <v>1.5561496688055514E-5</v>
      </c>
      <c r="F32" s="28">
        <v>4.3478260869565216E-2</v>
      </c>
      <c r="G32" s="28">
        <v>0.13314289325042844</v>
      </c>
      <c r="H32" s="28">
        <v>0.10869565217391304</v>
      </c>
      <c r="I32" s="28">
        <v>0.16464117675883241</v>
      </c>
    </row>
    <row r="33" spans="1:9" x14ac:dyDescent="0.2">
      <c r="A33" s="25" t="s">
        <v>15</v>
      </c>
      <c r="B33" s="28">
        <v>4.3478260869565216E-2</v>
      </c>
      <c r="C33" s="28">
        <v>8.922813247224913E-2</v>
      </c>
      <c r="D33" s="28">
        <v>0</v>
      </c>
      <c r="E33" s="28">
        <v>0</v>
      </c>
      <c r="F33" s="28">
        <v>6.5217391304347824E-2</v>
      </c>
      <c r="G33" s="28">
        <v>4.713155409447653E-2</v>
      </c>
      <c r="H33" s="28">
        <v>0.10869565217391304</v>
      </c>
      <c r="I33" s="28">
        <v>0.13635968656672567</v>
      </c>
    </row>
    <row r="34" spans="1:9" x14ac:dyDescent="0.2">
      <c r="A34" s="25" t="s">
        <v>6</v>
      </c>
      <c r="B34" s="28">
        <v>0</v>
      </c>
      <c r="C34" s="28">
        <v>0</v>
      </c>
      <c r="D34" s="28">
        <v>0</v>
      </c>
      <c r="E34" s="28">
        <v>0</v>
      </c>
      <c r="F34" s="28">
        <v>4.3478260869565216E-2</v>
      </c>
      <c r="G34" s="28">
        <v>7.3022987849766879E-2</v>
      </c>
      <c r="H34" s="28">
        <v>4.3478260869565216E-2</v>
      </c>
      <c r="I34" s="28">
        <v>7.3022987849766879E-2</v>
      </c>
    </row>
    <row r="35" spans="1:9" x14ac:dyDescent="0.2">
      <c r="A35" s="25" t="s">
        <v>11</v>
      </c>
      <c r="B35" s="28">
        <v>0</v>
      </c>
      <c r="C35" s="28">
        <v>0</v>
      </c>
      <c r="D35" s="28">
        <v>0.13043478260869565</v>
      </c>
      <c r="E35" s="28">
        <v>1.0398662229795406E-3</v>
      </c>
      <c r="F35" s="28">
        <v>2.1739130434782608E-2</v>
      </c>
      <c r="G35" s="28">
        <v>7.9124232826693966E-2</v>
      </c>
      <c r="H35" s="28">
        <v>0.15217391304347827</v>
      </c>
      <c r="I35" s="28">
        <v>8.0164099049673504E-2</v>
      </c>
    </row>
    <row r="36" spans="1:9" x14ac:dyDescent="0.2">
      <c r="A36" s="25" t="s">
        <v>12</v>
      </c>
      <c r="B36" s="28">
        <v>0</v>
      </c>
      <c r="C36" s="28">
        <v>0</v>
      </c>
      <c r="D36" s="28">
        <v>2.1739130434782608E-2</v>
      </c>
      <c r="E36" s="28">
        <v>7.4857664760022273E-4</v>
      </c>
      <c r="F36" s="28">
        <v>6.5217391304347824E-2</v>
      </c>
      <c r="G36" s="28">
        <v>0.13809546251135366</v>
      </c>
      <c r="H36" s="28">
        <v>8.6956521739130432E-2</v>
      </c>
      <c r="I36" s="28">
        <v>0.13884403915895385</v>
      </c>
    </row>
    <row r="37" spans="1:9" x14ac:dyDescent="0.2">
      <c r="A37" s="25" t="s">
        <v>8</v>
      </c>
      <c r="B37" s="28">
        <v>0</v>
      </c>
      <c r="C37" s="28">
        <v>0</v>
      </c>
      <c r="D37" s="28">
        <v>8.6956521739130432E-2</v>
      </c>
      <c r="E37" s="28">
        <v>1.5394405104448175E-3</v>
      </c>
      <c r="F37" s="28">
        <v>2.1739130434782608E-2</v>
      </c>
      <c r="G37" s="28">
        <v>4.7081880423302533E-3</v>
      </c>
      <c r="H37" s="28">
        <v>0.10869565217391304</v>
      </c>
      <c r="I37" s="28">
        <v>6.2476285527750712E-3</v>
      </c>
    </row>
    <row r="38" spans="1:9" x14ac:dyDescent="0.2">
      <c r="A38" s="25" t="s">
        <v>396</v>
      </c>
      <c r="B38" s="28">
        <v>0.15217391304347827</v>
      </c>
      <c r="C38" s="28">
        <v>0.23081392987664842</v>
      </c>
      <c r="D38" s="28">
        <v>0.34782608695652173</v>
      </c>
      <c r="E38" s="28">
        <v>5.0257815532313167E-3</v>
      </c>
      <c r="F38" s="28">
        <v>0.5</v>
      </c>
      <c r="G38" s="28">
        <v>0.76416028857011997</v>
      </c>
      <c r="H38" s="28">
        <v>1</v>
      </c>
      <c r="I38" s="28">
        <v>1</v>
      </c>
    </row>
  </sheetData>
  <mergeCells count="10">
    <mergeCell ref="B26:C26"/>
    <mergeCell ref="D26:E26"/>
    <mergeCell ref="F26:G26"/>
    <mergeCell ref="H26:H27"/>
    <mergeCell ref="I26:I27"/>
    <mergeCell ref="B4:C4"/>
    <mergeCell ref="D4:E4"/>
    <mergeCell ref="F4:G4"/>
    <mergeCell ref="H4:H5"/>
    <mergeCell ref="I4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089B-8BC1-D742-A64B-C4B7567B459E}">
  <sheetPr>
    <tabColor theme="4" tint="0.79998168889431442"/>
  </sheetPr>
  <dimension ref="A3:M18"/>
  <sheetViews>
    <sheetView workbookViewId="0">
      <selection activeCell="J13" sqref="J13"/>
    </sheetView>
  </sheetViews>
  <sheetFormatPr baseColWidth="10" defaultRowHeight="16" x14ac:dyDescent="0.2"/>
  <cols>
    <col min="1" max="1" width="20.1640625" bestFit="1" customWidth="1"/>
    <col min="2" max="2" width="22.83203125" bestFit="1" customWidth="1"/>
    <col min="3" max="3" width="13.33203125" customWidth="1"/>
    <col min="4" max="4" width="17" customWidth="1"/>
    <col min="5" max="5" width="12" bestFit="1" customWidth="1"/>
    <col min="9" max="9" width="22.83203125" bestFit="1" customWidth="1"/>
    <col min="10" max="10" width="21" customWidth="1"/>
    <col min="11" max="11" width="16.83203125" customWidth="1"/>
    <col min="12" max="12" width="14.33203125" customWidth="1"/>
    <col min="13" max="13" width="18.33203125" customWidth="1"/>
  </cols>
  <sheetData>
    <row r="3" spans="1:13" x14ac:dyDescent="0.2">
      <c r="A3" s="26" t="s">
        <v>419</v>
      </c>
      <c r="B3" s="26" t="s">
        <v>409</v>
      </c>
      <c r="C3" s="12"/>
      <c r="D3" s="12"/>
      <c r="E3" s="12"/>
      <c r="I3" s="26" t="s">
        <v>421</v>
      </c>
      <c r="J3" s="26" t="s">
        <v>422</v>
      </c>
      <c r="K3" s="12"/>
      <c r="L3" s="12"/>
      <c r="M3" s="12"/>
    </row>
    <row r="4" spans="1:13" ht="17" x14ac:dyDescent="0.2">
      <c r="A4" s="26" t="s">
        <v>418</v>
      </c>
      <c r="B4" s="27" t="s">
        <v>60</v>
      </c>
      <c r="C4" s="27" t="s">
        <v>58</v>
      </c>
      <c r="D4" s="27" t="s">
        <v>62</v>
      </c>
      <c r="E4" s="27" t="s">
        <v>396</v>
      </c>
      <c r="I4" s="26" t="s">
        <v>423</v>
      </c>
      <c r="J4" s="27" t="s">
        <v>60</v>
      </c>
      <c r="K4" s="27" t="s">
        <v>58</v>
      </c>
      <c r="L4" s="27" t="s">
        <v>62</v>
      </c>
      <c r="M4" s="27" t="s">
        <v>396</v>
      </c>
    </row>
    <row r="5" spans="1:13" x14ac:dyDescent="0.2">
      <c r="A5" s="29" t="s">
        <v>411</v>
      </c>
      <c r="B5" s="32"/>
      <c r="C5" s="32">
        <v>6</v>
      </c>
      <c r="D5" s="32">
        <v>5</v>
      </c>
      <c r="E5" s="32">
        <v>11</v>
      </c>
      <c r="I5" s="29" t="s">
        <v>411</v>
      </c>
      <c r="J5" s="22"/>
      <c r="K5" s="22">
        <v>636.61166666666679</v>
      </c>
      <c r="L5" s="22">
        <v>793.0223607914013</v>
      </c>
      <c r="M5" s="22">
        <v>707.70743672336437</v>
      </c>
    </row>
    <row r="6" spans="1:13" x14ac:dyDescent="0.2">
      <c r="A6" s="29" t="s">
        <v>436</v>
      </c>
      <c r="B6" s="32"/>
      <c r="C6" s="32">
        <v>2</v>
      </c>
      <c r="D6" s="32"/>
      <c r="E6" s="32">
        <v>2</v>
      </c>
      <c r="I6" s="29" t="s">
        <v>436</v>
      </c>
      <c r="J6" s="22"/>
      <c r="K6" s="22">
        <v>354.20000000000005</v>
      </c>
      <c r="L6" s="22"/>
      <c r="M6" s="22">
        <v>354.20000000000005</v>
      </c>
    </row>
    <row r="7" spans="1:13" x14ac:dyDescent="0.2">
      <c r="A7" s="29" t="s">
        <v>412</v>
      </c>
      <c r="B7" s="32"/>
      <c r="C7" s="32"/>
      <c r="D7" s="32">
        <v>1</v>
      </c>
      <c r="E7" s="32">
        <v>1</v>
      </c>
      <c r="I7" s="29" t="s">
        <v>412</v>
      </c>
      <c r="J7" s="22"/>
      <c r="K7" s="22"/>
      <c r="L7" s="22">
        <v>549.95564428646742</v>
      </c>
      <c r="M7" s="22">
        <v>549.95564428646742</v>
      </c>
    </row>
    <row r="8" spans="1:13" x14ac:dyDescent="0.2">
      <c r="A8" s="29" t="s">
        <v>413</v>
      </c>
      <c r="B8" s="32"/>
      <c r="C8" s="32"/>
      <c r="D8" s="32">
        <v>1</v>
      </c>
      <c r="E8" s="32">
        <v>1</v>
      </c>
      <c r="I8" s="29" t="s">
        <v>413</v>
      </c>
      <c r="J8" s="22"/>
      <c r="K8" s="22"/>
      <c r="L8" s="22">
        <v>879.50089484913917</v>
      </c>
      <c r="M8" s="22">
        <v>879.50089484913917</v>
      </c>
    </row>
    <row r="9" spans="1:13" x14ac:dyDescent="0.2">
      <c r="A9" s="29" t="s">
        <v>414</v>
      </c>
      <c r="B9" s="32"/>
      <c r="C9" s="32">
        <v>1</v>
      </c>
      <c r="D9" s="32">
        <v>1</v>
      </c>
      <c r="E9" s="32">
        <v>2</v>
      </c>
      <c r="I9" s="29" t="s">
        <v>414</v>
      </c>
      <c r="J9" s="22"/>
      <c r="K9" s="22">
        <v>1051.5899999999999</v>
      </c>
      <c r="L9" s="22">
        <v>1652.4383814558855</v>
      </c>
      <c r="M9" s="22">
        <v>1352.0141907279426</v>
      </c>
    </row>
    <row r="10" spans="1:13" x14ac:dyDescent="0.2">
      <c r="A10" s="29" t="s">
        <v>437</v>
      </c>
      <c r="B10" s="32">
        <v>1</v>
      </c>
      <c r="C10" s="32"/>
      <c r="D10" s="32">
        <v>3</v>
      </c>
      <c r="E10" s="32">
        <v>4</v>
      </c>
      <c r="I10" s="29" t="s">
        <v>437</v>
      </c>
      <c r="J10" s="22">
        <v>1291.5</v>
      </c>
      <c r="K10" s="22"/>
      <c r="L10" s="22">
        <v>1468.7567680101747</v>
      </c>
      <c r="M10" s="22">
        <v>1424.442576007631</v>
      </c>
    </row>
    <row r="11" spans="1:13" x14ac:dyDescent="0.2">
      <c r="A11" s="29" t="s">
        <v>415</v>
      </c>
      <c r="B11" s="32"/>
      <c r="C11" s="32">
        <v>1</v>
      </c>
      <c r="D11" s="32">
        <v>1</v>
      </c>
      <c r="E11" s="32">
        <v>2</v>
      </c>
      <c r="I11" s="29" t="s">
        <v>415</v>
      </c>
      <c r="J11" s="22"/>
      <c r="K11" s="22">
        <v>678.28</v>
      </c>
      <c r="L11" s="22">
        <v>2276.0688740205051</v>
      </c>
      <c r="M11" s="22">
        <v>1477.1744370102524</v>
      </c>
    </row>
    <row r="12" spans="1:13" x14ac:dyDescent="0.2">
      <c r="A12" s="29" t="s">
        <v>416</v>
      </c>
      <c r="B12" s="32">
        <v>2</v>
      </c>
      <c r="C12" s="32"/>
      <c r="D12" s="32"/>
      <c r="E12" s="32">
        <v>2</v>
      </c>
      <c r="I12" s="29" t="s">
        <v>416</v>
      </c>
      <c r="J12" s="22">
        <v>1274.07</v>
      </c>
      <c r="K12" s="22"/>
      <c r="L12" s="22"/>
      <c r="M12" s="22">
        <v>1274.07</v>
      </c>
    </row>
    <row r="13" spans="1:13" x14ac:dyDescent="0.2">
      <c r="A13" s="29" t="s">
        <v>438</v>
      </c>
      <c r="B13" s="32"/>
      <c r="C13" s="32"/>
      <c r="D13" s="32">
        <v>1</v>
      </c>
      <c r="E13" s="32">
        <v>1</v>
      </c>
      <c r="I13" s="29" t="s">
        <v>438</v>
      </c>
      <c r="J13" s="22"/>
      <c r="K13" s="22"/>
      <c r="L13" s="22">
        <v>1399.7982051754125</v>
      </c>
      <c r="M13" s="22">
        <v>1399.7982051754125</v>
      </c>
    </row>
    <row r="14" spans="1:13" x14ac:dyDescent="0.2">
      <c r="A14" s="29" t="s">
        <v>417</v>
      </c>
      <c r="B14" s="32"/>
      <c r="C14" s="32">
        <v>1</v>
      </c>
      <c r="D14" s="32"/>
      <c r="E14" s="32">
        <v>1</v>
      </c>
      <c r="I14" s="29" t="s">
        <v>417</v>
      </c>
      <c r="J14" s="22"/>
      <c r="K14" s="22">
        <v>601.80999999999995</v>
      </c>
      <c r="L14" s="22"/>
      <c r="M14" s="22">
        <v>601.80999999999995</v>
      </c>
    </row>
    <row r="15" spans="1:13" x14ac:dyDescent="0.2">
      <c r="A15" s="29" t="s">
        <v>439</v>
      </c>
      <c r="B15" s="32"/>
      <c r="C15" s="32"/>
      <c r="D15" s="32">
        <v>3</v>
      </c>
      <c r="E15" s="32">
        <v>3</v>
      </c>
      <c r="I15" s="29" t="s">
        <v>439</v>
      </c>
      <c r="J15" s="22"/>
      <c r="K15" s="22"/>
      <c r="L15" s="22">
        <v>2274.4032104750372</v>
      </c>
      <c r="M15" s="22">
        <v>2274.4032104750372</v>
      </c>
    </row>
    <row r="16" spans="1:13" x14ac:dyDescent="0.2">
      <c r="A16" s="29" t="s">
        <v>440</v>
      </c>
      <c r="B16" s="32"/>
      <c r="C16" s="32"/>
      <c r="D16" s="32">
        <v>1</v>
      </c>
      <c r="E16" s="32">
        <v>1</v>
      </c>
      <c r="I16" s="29" t="s">
        <v>440</v>
      </c>
      <c r="J16" s="22"/>
      <c r="K16" s="22"/>
      <c r="L16" s="22">
        <v>2458.0756212591218</v>
      </c>
      <c r="M16" s="22">
        <v>2458.0756212591218</v>
      </c>
    </row>
    <row r="17" spans="1:13" x14ac:dyDescent="0.2">
      <c r="A17" s="29" t="s">
        <v>441</v>
      </c>
      <c r="B17" s="32">
        <v>4</v>
      </c>
      <c r="C17" s="32">
        <v>5</v>
      </c>
      <c r="D17" s="32">
        <v>6</v>
      </c>
      <c r="E17" s="32">
        <v>15</v>
      </c>
      <c r="I17" s="29" t="s">
        <v>441</v>
      </c>
      <c r="J17" s="22">
        <v>1356</v>
      </c>
      <c r="K17" s="22">
        <v>776.79599999999994</v>
      </c>
      <c r="L17" s="22">
        <v>3120.1725709147649</v>
      </c>
      <c r="M17" s="22">
        <v>1868.6010283659057</v>
      </c>
    </row>
    <row r="18" spans="1:13" x14ac:dyDescent="0.2">
      <c r="A18" s="29" t="s">
        <v>396</v>
      </c>
      <c r="B18" s="32">
        <v>7</v>
      </c>
      <c r="C18" s="32">
        <v>16</v>
      </c>
      <c r="D18" s="32">
        <v>23</v>
      </c>
      <c r="E18" s="32">
        <v>46</v>
      </c>
      <c r="I18" s="29" t="s">
        <v>396</v>
      </c>
      <c r="J18" s="22">
        <v>1323.3771428571431</v>
      </c>
      <c r="K18" s="22">
        <v>671.48312499999997</v>
      </c>
      <c r="L18" s="22">
        <v>1875.2810776499027</v>
      </c>
      <c r="M18" s="22">
        <v>1372.5833649119079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2B1C-D1F6-9846-A355-AAC468EE6281}">
  <sheetPr>
    <tabColor theme="4" tint="0.79998168889431442"/>
  </sheetPr>
  <dimension ref="A2:I15"/>
  <sheetViews>
    <sheetView workbookViewId="0">
      <selection activeCell="I37" sqref="I37"/>
    </sheetView>
  </sheetViews>
  <sheetFormatPr baseColWidth="10" defaultRowHeight="16" x14ac:dyDescent="0.2"/>
  <cols>
    <col min="1" max="1" width="20.33203125" bestFit="1" customWidth="1"/>
    <col min="2" max="2" width="22.83203125" bestFit="1" customWidth="1"/>
    <col min="3" max="3" width="13.83203125" customWidth="1"/>
    <col min="4" max="4" width="15.5" customWidth="1"/>
    <col min="5" max="5" width="12" bestFit="1" customWidth="1"/>
    <col min="7" max="7" width="15.6640625" customWidth="1"/>
    <col min="9" max="9" width="18.1640625" customWidth="1"/>
  </cols>
  <sheetData>
    <row r="2" spans="1:9" x14ac:dyDescent="0.2">
      <c r="A2" s="24" t="s">
        <v>395</v>
      </c>
      <c r="B2" t="s">
        <v>427</v>
      </c>
    </row>
    <row r="3" spans="1:9" x14ac:dyDescent="0.2">
      <c r="A3" s="24" t="s">
        <v>3</v>
      </c>
      <c r="B3" t="s">
        <v>427</v>
      </c>
    </row>
    <row r="5" spans="1:9" x14ac:dyDescent="0.2">
      <c r="A5" s="12"/>
      <c r="B5" s="26" t="s">
        <v>425</v>
      </c>
      <c r="C5" s="12"/>
      <c r="D5" s="12"/>
      <c r="E5" s="12"/>
      <c r="F5" s="12"/>
      <c r="G5" s="12"/>
      <c r="H5" s="12"/>
      <c r="I5" s="12"/>
    </row>
    <row r="6" spans="1:9" x14ac:dyDescent="0.2">
      <c r="A6" s="12"/>
      <c r="B6" s="30" t="s">
        <v>60</v>
      </c>
      <c r="C6" s="31"/>
      <c r="D6" s="30" t="s">
        <v>58</v>
      </c>
      <c r="E6" s="31"/>
      <c r="F6" s="30" t="s">
        <v>62</v>
      </c>
      <c r="G6" s="31"/>
      <c r="H6" s="30" t="s">
        <v>404</v>
      </c>
      <c r="I6" s="30" t="s">
        <v>424</v>
      </c>
    </row>
    <row r="7" spans="1:9" ht="51" x14ac:dyDescent="0.2">
      <c r="A7" s="26" t="s">
        <v>426</v>
      </c>
      <c r="B7" s="27" t="s">
        <v>403</v>
      </c>
      <c r="C7" s="27" t="s">
        <v>420</v>
      </c>
      <c r="D7" s="27" t="s">
        <v>403</v>
      </c>
      <c r="E7" s="27" t="s">
        <v>420</v>
      </c>
      <c r="F7" s="27" t="s">
        <v>403</v>
      </c>
      <c r="G7" s="27" t="s">
        <v>420</v>
      </c>
      <c r="H7" s="31"/>
      <c r="I7" s="31"/>
    </row>
    <row r="8" spans="1:9" x14ac:dyDescent="0.2">
      <c r="A8" s="25" t="s">
        <v>45</v>
      </c>
      <c r="B8" s="13">
        <v>97.657959650977205</v>
      </c>
      <c r="C8" s="22">
        <v>2404</v>
      </c>
      <c r="D8" s="13">
        <v>4.8271048961566969E-2</v>
      </c>
      <c r="E8" s="22">
        <v>1361.3000000000002</v>
      </c>
      <c r="F8" s="13">
        <v>413.00314794972297</v>
      </c>
      <c r="G8" s="22">
        <v>6565.2022644062772</v>
      </c>
      <c r="H8" s="13">
        <v>510.70937864966174</v>
      </c>
      <c r="I8" s="22">
        <v>10330.502264406277</v>
      </c>
    </row>
    <row r="9" spans="1:9" x14ac:dyDescent="0.2">
      <c r="A9" s="25" t="s">
        <v>51</v>
      </c>
      <c r="B9" s="13"/>
      <c r="C9" s="22"/>
      <c r="D9" s="13">
        <v>2.746912898750296</v>
      </c>
      <c r="E9" s="22">
        <v>602.26</v>
      </c>
      <c r="F9" s="13">
        <v>354.70784766102599</v>
      </c>
      <c r="G9" s="22">
        <v>5476.3634525867183</v>
      </c>
      <c r="H9" s="13">
        <v>357.45476055977628</v>
      </c>
      <c r="I9" s="22">
        <v>6078.6234525867185</v>
      </c>
    </row>
    <row r="10" spans="1:9" x14ac:dyDescent="0.2">
      <c r="A10" s="25" t="s">
        <v>28</v>
      </c>
      <c r="B10" s="13">
        <v>56.750877524466915</v>
      </c>
      <c r="C10" s="22">
        <v>1435.6399999999999</v>
      </c>
      <c r="D10" s="13">
        <v>9.4553501635003574</v>
      </c>
      <c r="E10" s="22">
        <v>4208.9699999999993</v>
      </c>
      <c r="F10" s="13">
        <v>761.42307521302962</v>
      </c>
      <c r="G10" s="22">
        <v>12890.851425336496</v>
      </c>
      <c r="H10" s="13">
        <v>827.62930290099689</v>
      </c>
      <c r="I10" s="22">
        <v>18535.461425336493</v>
      </c>
    </row>
    <row r="11" spans="1:9" x14ac:dyDescent="0.2">
      <c r="A11" s="25" t="s">
        <v>32</v>
      </c>
      <c r="B11" s="13"/>
      <c r="C11" s="22"/>
      <c r="D11" s="13">
        <v>3.2256173277634317</v>
      </c>
      <c r="E11" s="22">
        <v>3862.7999999999997</v>
      </c>
      <c r="F11" s="13">
        <v>245.43974100867945</v>
      </c>
      <c r="G11" s="22">
        <v>3854.2905405876481</v>
      </c>
      <c r="H11" s="13">
        <v>248.66535833644289</v>
      </c>
      <c r="I11" s="22">
        <v>7717.0905405876474</v>
      </c>
    </row>
    <row r="12" spans="1:9" x14ac:dyDescent="0.2">
      <c r="A12" s="25" t="s">
        <v>40</v>
      </c>
      <c r="B12" s="13">
        <v>276.78157426998229</v>
      </c>
      <c r="C12" s="22">
        <v>3087.7999999999997</v>
      </c>
      <c r="D12" s="13"/>
      <c r="E12" s="22"/>
      <c r="F12" s="13">
        <v>372.71387793933093</v>
      </c>
      <c r="G12" s="22">
        <v>9380.401124555714</v>
      </c>
      <c r="H12" s="13">
        <v>649.49545220931327</v>
      </c>
      <c r="I12" s="22">
        <v>12468.201124555713</v>
      </c>
    </row>
    <row r="13" spans="1:9" x14ac:dyDescent="0.2">
      <c r="A13" s="25" t="s">
        <v>35</v>
      </c>
      <c r="B13" s="13"/>
      <c r="C13" s="22"/>
      <c r="D13" s="13"/>
      <c r="E13" s="22"/>
      <c r="F13" s="13">
        <v>160.03206917683062</v>
      </c>
      <c r="G13" s="22">
        <v>3686.6707474067448</v>
      </c>
      <c r="H13" s="13">
        <v>160.03206917683062</v>
      </c>
      <c r="I13" s="22">
        <v>3686.6707474067448</v>
      </c>
    </row>
    <row r="14" spans="1:9" x14ac:dyDescent="0.2">
      <c r="A14" s="25" t="s">
        <v>30</v>
      </c>
      <c r="B14" s="13">
        <v>284.78381220616654</v>
      </c>
      <c r="C14" s="22">
        <v>2336.1999999999998</v>
      </c>
      <c r="D14" s="13">
        <v>0.11359241981271295</v>
      </c>
      <c r="E14" s="22">
        <v>708.40000000000009</v>
      </c>
      <c r="F14" s="13">
        <v>63.070406180323424</v>
      </c>
      <c r="G14" s="22">
        <v>1277.6852310681677</v>
      </c>
      <c r="H14" s="13">
        <v>347.96781080630268</v>
      </c>
      <c r="I14" s="22">
        <v>4322.2852310681674</v>
      </c>
    </row>
    <row r="15" spans="1:9" x14ac:dyDescent="0.2">
      <c r="A15" s="25" t="s">
        <v>396</v>
      </c>
      <c r="B15" s="13">
        <v>715.97422365159298</v>
      </c>
      <c r="C15" s="22">
        <v>9263.64</v>
      </c>
      <c r="D15" s="13">
        <v>15.589743858788365</v>
      </c>
      <c r="E15" s="22">
        <v>10743.73</v>
      </c>
      <c r="F15" s="13">
        <v>2370.390165128943</v>
      </c>
      <c r="G15" s="22">
        <v>43131.464785947763</v>
      </c>
      <c r="H15" s="13">
        <v>3101.9541326393241</v>
      </c>
      <c r="I15" s="22">
        <v>63138.834785947765</v>
      </c>
    </row>
  </sheetData>
  <mergeCells count="5">
    <mergeCell ref="B6:C6"/>
    <mergeCell ref="D6:E6"/>
    <mergeCell ref="F6:G6"/>
    <mergeCell ref="H6:H7"/>
    <mergeCell ref="I6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EE69-5D97-5145-ADDE-2BB0EE55E5F6}">
  <sheetPr>
    <tabColor theme="4" tint="0.79998168889431442"/>
  </sheetPr>
  <dimension ref="A2:E10"/>
  <sheetViews>
    <sheetView tabSelected="1" workbookViewId="0">
      <selection activeCell="D10" sqref="D10"/>
    </sheetView>
  </sheetViews>
  <sheetFormatPr baseColWidth="10" defaultRowHeight="16" x14ac:dyDescent="0.2"/>
  <cols>
    <col min="1" max="1" width="20.1640625" bestFit="1" customWidth="1"/>
    <col min="2" max="2" width="22.83203125" bestFit="1" customWidth="1"/>
    <col min="3" max="3" width="20.6640625" customWidth="1"/>
    <col min="4" max="4" width="19.5" customWidth="1"/>
    <col min="5" max="5" width="15.33203125" customWidth="1"/>
  </cols>
  <sheetData>
    <row r="2" spans="1:5" x14ac:dyDescent="0.2">
      <c r="A2" s="24" t="s">
        <v>21</v>
      </c>
      <c r="B2" t="s">
        <v>427</v>
      </c>
    </row>
    <row r="3" spans="1:5" x14ac:dyDescent="0.2">
      <c r="A3" s="24" t="s">
        <v>55</v>
      </c>
      <c r="B3" t="s">
        <v>427</v>
      </c>
    </row>
    <row r="5" spans="1:5" x14ac:dyDescent="0.2">
      <c r="A5" s="26" t="s">
        <v>435</v>
      </c>
      <c r="B5" s="12" t="s">
        <v>432</v>
      </c>
      <c r="C5" s="12" t="s">
        <v>434</v>
      </c>
      <c r="D5" s="12" t="s">
        <v>433</v>
      </c>
      <c r="E5" s="12" t="s">
        <v>398</v>
      </c>
    </row>
    <row r="6" spans="1:5" x14ac:dyDescent="0.2">
      <c r="A6" s="25" t="s">
        <v>428</v>
      </c>
      <c r="B6" s="13">
        <v>1.6451612903225807</v>
      </c>
      <c r="C6" s="22">
        <v>1176.4754482053675</v>
      </c>
      <c r="D6" s="28">
        <v>0.5365379395190103</v>
      </c>
      <c r="E6" s="28">
        <v>0.67391304347826086</v>
      </c>
    </row>
    <row r="7" spans="1:5" x14ac:dyDescent="0.2">
      <c r="A7" s="25" t="s">
        <v>429</v>
      </c>
      <c r="B7" s="13">
        <v>4</v>
      </c>
      <c r="C7" s="22">
        <v>2374.7610563640969</v>
      </c>
      <c r="D7" s="28">
        <v>7.3022987849766879E-2</v>
      </c>
      <c r="E7" s="28">
        <v>4.3478260869565216E-2</v>
      </c>
    </row>
    <row r="8" spans="1:5" x14ac:dyDescent="0.2">
      <c r="A8" s="25" t="s">
        <v>430</v>
      </c>
      <c r="B8" s="13">
        <v>5</v>
      </c>
      <c r="C8" s="22">
        <v>1519.6558631466796</v>
      </c>
      <c r="D8" s="28">
        <v>0.11523534690554331</v>
      </c>
      <c r="E8" s="28">
        <v>8.6956521739130432E-2</v>
      </c>
    </row>
    <row r="9" spans="1:5" x14ac:dyDescent="0.2">
      <c r="A9" s="25" t="s">
        <v>431</v>
      </c>
      <c r="B9" s="13">
        <v>2</v>
      </c>
      <c r="C9" s="22">
        <v>1759.9944806962733</v>
      </c>
      <c r="D9" s="28">
        <v>0.27520372572567953</v>
      </c>
      <c r="E9" s="28">
        <v>0.19565217391304349</v>
      </c>
    </row>
    <row r="10" spans="1:5" x14ac:dyDescent="0.2">
      <c r="A10" s="25" t="s">
        <v>396</v>
      </c>
      <c r="B10" s="13">
        <v>2.1086956521739131</v>
      </c>
      <c r="C10" s="22">
        <v>1372.5833649119079</v>
      </c>
      <c r="D10" s="28">
        <v>1</v>
      </c>
      <c r="E10" s="28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E15857-ABF1-CE47-9D72-5D6779E5B0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12</vt:i4>
      </vt:variant>
    </vt:vector>
  </HeadingPairs>
  <TitlesOfParts>
    <vt:vector size="22" baseType="lpstr">
      <vt:lpstr>Employés</vt:lpstr>
      <vt:lpstr>Projets</vt:lpstr>
      <vt:lpstr>Déplacements</vt:lpstr>
      <vt:lpstr>Taux</vt:lpstr>
      <vt:lpstr>voitures_disponibles</vt:lpstr>
      <vt:lpstr>villes</vt:lpstr>
      <vt:lpstr>TCD employes</vt:lpstr>
      <vt:lpstr>TCD KMs</vt:lpstr>
      <vt:lpstr>TCD domaines</vt:lpstr>
      <vt:lpstr>TCD âges</vt:lpstr>
      <vt:lpstr>Destination</vt:lpstr>
      <vt:lpstr>EmissionCO2Moy</vt:lpstr>
      <vt:lpstr>Employes</vt:lpstr>
      <vt:lpstr>limiteKgCO2</vt:lpstr>
      <vt:lpstr>Matr_Deplacements</vt:lpstr>
      <vt:lpstr>Matr_Employes</vt:lpstr>
      <vt:lpstr>ModesTransp</vt:lpstr>
      <vt:lpstr>NP_Deplacements</vt:lpstr>
      <vt:lpstr>Nuitées</vt:lpstr>
      <vt:lpstr>PrixKM</vt:lpstr>
      <vt:lpstr>Projets</vt:lpstr>
      <vt:lpstr>Seuil_population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2025-10-18T12:15:05Z</dcterms:created>
  <dcterms:modified xsi:type="dcterms:W3CDTF">2025-10-18T16:39:57Z</dcterms:modified>
</cp:coreProperties>
</file>