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timelineCaches/timelineCache1.xml" ContentType="application/vnd.ms-excel.timelineCache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xl/tables/table3.xml" ContentType="application/vnd.openxmlformats-officedocument.spreadsheetml.table+xml"/>
  <Override PartName="/xl/queryTables/queryTable2.xml" ContentType="application/vnd.openxmlformats-officedocument.spreadsheetml.query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timelines/timeline1.xml" ContentType="application/vnd.ms-excel.timelin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hidePivotFieldList="1"/>
  <mc:AlternateContent xmlns:mc="http://schemas.openxmlformats.org/markup-compatibility/2006">
    <mc:Choice Requires="x15">
      <x15ac:absPath xmlns:x15ac="http://schemas.microsoft.com/office/spreadsheetml/2010/11/ac" url="/Users/kirsch/Dropbox/Aulas/CMSI/2026-2027/CMSI/"/>
    </mc:Choice>
  </mc:AlternateContent>
  <xr:revisionPtr revIDLastSave="0" documentId="13_ncr:1_{B3D78B37-C56F-724F-9F00-00A1CBC4EBB1}" xr6:coauthVersionLast="47" xr6:coauthVersionMax="47" xr10:uidLastSave="{00000000-0000-0000-0000-000000000000}"/>
  <bookViews>
    <workbookView xWindow="2660" yWindow="3160" windowWidth="28180" windowHeight="14520" activeTab="4" xr2:uid="{00000000-000D-0000-FFFF-FFFF00000000}"/>
  </bookViews>
  <sheets>
    <sheet name="Consultants" sheetId="1" r:id="rId1"/>
    <sheet name="Domaines" sheetId="2" r:id="rId2"/>
    <sheet name="Contrats" sheetId="3" r:id="rId3"/>
    <sheet name="Projets" sheetId="4" r:id="rId4"/>
    <sheet name="Deplacements" sheetId="5" r:id="rId5"/>
    <sheet name="villes_clients" sheetId="10" r:id="rId6"/>
    <sheet name="voitures_declarees" sheetId="13" r:id="rId7"/>
    <sheet name="Jours fériés" sheetId="6" r:id="rId8"/>
    <sheet name="Valeurs de référence" sheetId="12" r:id="rId9"/>
    <sheet name="TCD Domaine" sheetId="8" r:id="rId10"/>
    <sheet name="TCD Deplacements" sheetId="9" r:id="rId11"/>
    <sheet name="Formulaire" sheetId="11" r:id="rId12"/>
  </sheets>
  <definedNames>
    <definedName name="_xlnm._FilterDatabase" localSheetId="4" hidden="1">Deplacements!$A$1:$M$214</definedName>
    <definedName name="ChronologieNative_Date_Début">#N/A</definedName>
    <definedName name="CO2_Train">'Valeurs de référence'!$E$2</definedName>
    <definedName name="Dernier_contrat">Contrats!$H:$H</definedName>
    <definedName name="Domaine_Deplacements">Deplacements!$L:$L</definedName>
    <definedName name="DonnéesExternes_1" localSheetId="5" hidden="1">villes_clients!$A$1:$E$101</definedName>
    <definedName name="DonnéesExternes_1" localSheetId="6" hidden="1">voitures_declarees!$A$1:$I$11</definedName>
    <definedName name="Factures">'Valeurs de référence'!$G$2:$G$3</definedName>
    <definedName name="Immat_voitures">voitures_declarees!$M:$M</definedName>
    <definedName name="Jours_Fériés">'Jours fériés'!$A$2:$A$23</definedName>
    <definedName name="Matr">Consultants!$A:$A</definedName>
    <definedName name="Matr_Contrats">Contrats!$A:$A</definedName>
    <definedName name="Matr_Deplacements">Deplacements!$A:$A</definedName>
    <definedName name="Moyens">'Valeurs de référence'!$D$2:$D$3</definedName>
    <definedName name="nom_commune">villes_clients!$C:$C</definedName>
    <definedName name="Nuitée">'Valeurs de référence'!$B$2:$B$6</definedName>
    <definedName name="Num_Projet">Projets!$A:$A</definedName>
    <definedName name="Num_Projet_Depl">Deplacements!$B:$B</definedName>
    <definedName name="PlageDeplacements">OFFSET(Deplacements!$A$1,0,0,COUNTA(Deplacements!$A:$A), COUNTA(Deplacements!$1:$1))</definedName>
    <definedName name="Segment_Domaine">#N/A</definedName>
    <definedName name="Segment_Moyen">#N/A</definedName>
    <definedName name="Seuil_population">'Valeurs de référence'!$A$2:$A$6</definedName>
  </definedNames>
  <calcPr calcId="191029"/>
  <pivotCaches>
    <pivotCache cacheId="0" r:id="rId13"/>
    <pivotCache cacheId="12" r:id="rId14"/>
  </pivotCaches>
  <extLst>
    <ext xmlns:x14="http://schemas.microsoft.com/office/spreadsheetml/2009/9/main" uri="{BBE1A952-AA13-448e-AADC-164F8A28A991}">
      <x14:slicerCaches>
        <x14:slicerCache r:id="rId15"/>
        <x14:slicerCache r:id="rId16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D0CA8CA8-9F24-4464-BF8E-62219DCF47F9}">
      <x15:timelineCacheRefs>
        <x15:timelineCacheRef r:id="rId17"/>
      </x15:timelineCacheRefs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" i="11" l="1"/>
  <c r="O9" i="11" s="1"/>
  <c r="O7" i="11"/>
  <c r="S3" i="5"/>
  <c r="S4" i="5"/>
  <c r="S5" i="5"/>
  <c r="S6" i="5"/>
  <c r="S7" i="5"/>
  <c r="S8" i="5"/>
  <c r="S9" i="5"/>
  <c r="S10" i="5"/>
  <c r="S11" i="5"/>
  <c r="S12" i="5"/>
  <c r="S13" i="5"/>
  <c r="S14" i="5"/>
  <c r="S15" i="5"/>
  <c r="S16" i="5"/>
  <c r="S17" i="5"/>
  <c r="S18" i="5"/>
  <c r="S19" i="5"/>
  <c r="S20" i="5"/>
  <c r="S21" i="5"/>
  <c r="S22" i="5"/>
  <c r="S23" i="5"/>
  <c r="S24" i="5"/>
  <c r="S25" i="5"/>
  <c r="S26" i="5"/>
  <c r="S27" i="5"/>
  <c r="S28" i="5"/>
  <c r="S29" i="5"/>
  <c r="S30" i="5"/>
  <c r="S31" i="5"/>
  <c r="S32" i="5"/>
  <c r="S33" i="5"/>
  <c r="S34" i="5"/>
  <c r="S35" i="5"/>
  <c r="S36" i="5"/>
  <c r="S37" i="5"/>
  <c r="S38" i="5"/>
  <c r="S39" i="5"/>
  <c r="S40" i="5"/>
  <c r="S41" i="5"/>
  <c r="S42" i="5"/>
  <c r="S43" i="5"/>
  <c r="S44" i="5"/>
  <c r="S45" i="5"/>
  <c r="S46" i="5"/>
  <c r="S47" i="5"/>
  <c r="S48" i="5"/>
  <c r="S49" i="5"/>
  <c r="S50" i="5"/>
  <c r="S51" i="5"/>
  <c r="S52" i="5"/>
  <c r="S53" i="5"/>
  <c r="S54" i="5"/>
  <c r="S55" i="5"/>
  <c r="S56" i="5"/>
  <c r="S57" i="5"/>
  <c r="S58" i="5"/>
  <c r="S59" i="5"/>
  <c r="S60" i="5"/>
  <c r="S61" i="5"/>
  <c r="S62" i="5"/>
  <c r="S63" i="5"/>
  <c r="S64" i="5"/>
  <c r="S65" i="5"/>
  <c r="S66" i="5"/>
  <c r="S67" i="5"/>
  <c r="S68" i="5"/>
  <c r="S69" i="5"/>
  <c r="S70" i="5"/>
  <c r="S71" i="5"/>
  <c r="S72" i="5"/>
  <c r="S73" i="5"/>
  <c r="S74" i="5"/>
  <c r="S75" i="5"/>
  <c r="S76" i="5"/>
  <c r="S77" i="5"/>
  <c r="S78" i="5"/>
  <c r="S79" i="5"/>
  <c r="S80" i="5"/>
  <c r="S81" i="5"/>
  <c r="S82" i="5"/>
  <c r="S83" i="5"/>
  <c r="S84" i="5"/>
  <c r="S85" i="5"/>
  <c r="S86" i="5"/>
  <c r="S87" i="5"/>
  <c r="S88" i="5"/>
  <c r="S89" i="5"/>
  <c r="S90" i="5"/>
  <c r="S91" i="5"/>
  <c r="S92" i="5"/>
  <c r="S93" i="5"/>
  <c r="S94" i="5"/>
  <c r="S95" i="5"/>
  <c r="S96" i="5"/>
  <c r="S97" i="5"/>
  <c r="S98" i="5"/>
  <c r="S99" i="5"/>
  <c r="S100" i="5"/>
  <c r="S101" i="5"/>
  <c r="S102" i="5"/>
  <c r="S103" i="5"/>
  <c r="S104" i="5"/>
  <c r="S105" i="5"/>
  <c r="S106" i="5"/>
  <c r="S107" i="5"/>
  <c r="S108" i="5"/>
  <c r="S109" i="5"/>
  <c r="S110" i="5"/>
  <c r="S111" i="5"/>
  <c r="S112" i="5"/>
  <c r="S113" i="5"/>
  <c r="S114" i="5"/>
  <c r="S115" i="5"/>
  <c r="S116" i="5"/>
  <c r="S117" i="5"/>
  <c r="S118" i="5"/>
  <c r="S119" i="5"/>
  <c r="S120" i="5"/>
  <c r="S121" i="5"/>
  <c r="S122" i="5"/>
  <c r="S123" i="5"/>
  <c r="S124" i="5"/>
  <c r="S125" i="5"/>
  <c r="S126" i="5"/>
  <c r="S127" i="5"/>
  <c r="S128" i="5"/>
  <c r="S129" i="5"/>
  <c r="S130" i="5"/>
  <c r="S131" i="5"/>
  <c r="S132" i="5"/>
  <c r="S133" i="5"/>
  <c r="S134" i="5"/>
  <c r="S135" i="5"/>
  <c r="S136" i="5"/>
  <c r="S137" i="5"/>
  <c r="S138" i="5"/>
  <c r="S139" i="5"/>
  <c r="S140" i="5"/>
  <c r="S141" i="5"/>
  <c r="S142" i="5"/>
  <c r="S143" i="5"/>
  <c r="S144" i="5"/>
  <c r="S145" i="5"/>
  <c r="S146" i="5"/>
  <c r="S147" i="5"/>
  <c r="S148" i="5"/>
  <c r="S149" i="5"/>
  <c r="S150" i="5"/>
  <c r="S151" i="5"/>
  <c r="S152" i="5"/>
  <c r="S153" i="5"/>
  <c r="S154" i="5"/>
  <c r="S155" i="5"/>
  <c r="S156" i="5"/>
  <c r="S157" i="5"/>
  <c r="S158" i="5"/>
  <c r="S159" i="5"/>
  <c r="S160" i="5"/>
  <c r="S161" i="5"/>
  <c r="S162" i="5"/>
  <c r="S163" i="5"/>
  <c r="S164" i="5"/>
  <c r="S165" i="5"/>
  <c r="S166" i="5"/>
  <c r="S167" i="5"/>
  <c r="S168" i="5"/>
  <c r="S169" i="5"/>
  <c r="S170" i="5"/>
  <c r="S171" i="5"/>
  <c r="S172" i="5"/>
  <c r="S173" i="5"/>
  <c r="S174" i="5"/>
  <c r="S175" i="5"/>
  <c r="S176" i="5"/>
  <c r="S177" i="5"/>
  <c r="S178" i="5"/>
  <c r="S179" i="5"/>
  <c r="S180" i="5"/>
  <c r="S181" i="5"/>
  <c r="S182" i="5"/>
  <c r="S183" i="5"/>
  <c r="S184" i="5"/>
  <c r="S185" i="5"/>
  <c r="S186" i="5"/>
  <c r="S187" i="5"/>
  <c r="S188" i="5"/>
  <c r="S189" i="5"/>
  <c r="S190" i="5"/>
  <c r="S191" i="5"/>
  <c r="S192" i="5"/>
  <c r="S193" i="5"/>
  <c r="S194" i="5"/>
  <c r="S195" i="5"/>
  <c r="S196" i="5"/>
  <c r="S197" i="5"/>
  <c r="S198" i="5"/>
  <c r="S199" i="5"/>
  <c r="S200" i="5"/>
  <c r="S201" i="5"/>
  <c r="S202" i="5"/>
  <c r="S203" i="5"/>
  <c r="S204" i="5"/>
  <c r="S205" i="5"/>
  <c r="S206" i="5"/>
  <c r="S207" i="5"/>
  <c r="S208" i="5"/>
  <c r="S209" i="5"/>
  <c r="S210" i="5"/>
  <c r="S211" i="5"/>
  <c r="S212" i="5"/>
  <c r="S213" i="5"/>
  <c r="S214" i="5"/>
  <c r="S2" i="5"/>
  <c r="M2" i="13"/>
  <c r="M3" i="13"/>
  <c r="M4" i="13"/>
  <c r="M5" i="13"/>
  <c r="M6" i="13"/>
  <c r="M7" i="13"/>
  <c r="M8" i="13"/>
  <c r="M9" i="13"/>
  <c r="M10" i="13"/>
  <c r="M11" i="13"/>
  <c r="K2" i="13"/>
  <c r="K3" i="13"/>
  <c r="K4" i="13"/>
  <c r="K5" i="13"/>
  <c r="K6" i="13"/>
  <c r="K7" i="13"/>
  <c r="K8" i="13"/>
  <c r="K9" i="13"/>
  <c r="K10" i="13"/>
  <c r="K11" i="13"/>
  <c r="J2" i="13"/>
  <c r="J3" i="13"/>
  <c r="J4" i="13"/>
  <c r="J5" i="13"/>
  <c r="J6" i="13"/>
  <c r="J7" i="13"/>
  <c r="J8" i="13"/>
  <c r="J9" i="13"/>
  <c r="J10" i="13"/>
  <c r="J11" i="13"/>
  <c r="L2" i="13"/>
  <c r="L3" i="13"/>
  <c r="L4" i="13"/>
  <c r="L5" i="13"/>
  <c r="L6" i="13"/>
  <c r="L7" i="13"/>
  <c r="L8" i="13"/>
  <c r="L9" i="13"/>
  <c r="L10" i="13"/>
  <c r="L11" i="13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" i="1"/>
  <c r="Q64" i="5"/>
  <c r="Q65" i="5"/>
  <c r="Q66" i="5"/>
  <c r="Q67" i="5"/>
  <c r="Q68" i="5"/>
  <c r="Q69" i="5"/>
  <c r="Q125" i="5"/>
  <c r="Q126" i="5"/>
  <c r="Q127" i="5"/>
  <c r="Q128" i="5"/>
  <c r="Q129" i="5"/>
  <c r="Q130" i="5"/>
  <c r="Q131" i="5"/>
  <c r="Q132" i="5"/>
  <c r="Q133" i="5"/>
  <c r="Q134" i="5"/>
  <c r="Q135" i="5"/>
  <c r="Q136" i="5"/>
  <c r="Q137" i="5"/>
  <c r="Q138" i="5"/>
  <c r="Q139" i="5"/>
  <c r="Q140" i="5"/>
  <c r="Q141" i="5"/>
  <c r="Q142" i="5"/>
  <c r="Q143" i="5"/>
  <c r="Q144" i="5"/>
  <c r="Q145" i="5"/>
  <c r="Q146" i="5"/>
  <c r="Q147" i="5"/>
  <c r="Q148" i="5"/>
  <c r="Q149" i="5"/>
  <c r="Q150" i="5"/>
  <c r="Q151" i="5"/>
  <c r="Q152" i="5"/>
  <c r="Q153" i="5"/>
  <c r="Q154" i="5"/>
  <c r="Q155" i="5"/>
  <c r="Q156" i="5"/>
  <c r="Q157" i="5"/>
  <c r="Q158" i="5"/>
  <c r="Q159" i="5"/>
  <c r="Q160" i="5"/>
  <c r="Q161" i="5"/>
  <c r="Q162" i="5"/>
  <c r="Q163" i="5"/>
  <c r="Q164" i="5"/>
  <c r="Q165" i="5"/>
  <c r="Q166" i="5"/>
  <c r="Q167" i="5"/>
  <c r="Q168" i="5"/>
  <c r="Q169" i="5"/>
  <c r="Q170" i="5"/>
  <c r="Q171" i="5"/>
  <c r="Q172" i="5"/>
  <c r="Q173" i="5"/>
  <c r="Q174" i="5"/>
  <c r="Q175" i="5"/>
  <c r="Q176" i="5"/>
  <c r="Q177" i="5"/>
  <c r="Q178" i="5"/>
  <c r="Q179" i="5"/>
  <c r="Q180" i="5"/>
  <c r="Q181" i="5"/>
  <c r="Q182" i="5"/>
  <c r="Q183" i="5"/>
  <c r="Q184" i="5"/>
  <c r="Q185" i="5"/>
  <c r="Q186" i="5"/>
  <c r="Q187" i="5"/>
  <c r="Q188" i="5"/>
  <c r="Q189" i="5"/>
  <c r="Q190" i="5"/>
  <c r="Q191" i="5"/>
  <c r="Q192" i="5"/>
  <c r="Q193" i="5"/>
  <c r="Q194" i="5"/>
  <c r="Q195" i="5"/>
  <c r="Q196" i="5"/>
  <c r="Q197" i="5"/>
  <c r="Q198" i="5"/>
  <c r="Q199" i="5"/>
  <c r="Q200" i="5"/>
  <c r="Q201" i="5"/>
  <c r="Q202" i="5"/>
  <c r="Q203" i="5"/>
  <c r="Q204" i="5"/>
  <c r="Q205" i="5"/>
  <c r="Q206" i="5"/>
  <c r="Q207" i="5"/>
  <c r="Q208" i="5"/>
  <c r="Q209" i="5"/>
  <c r="Q210" i="5"/>
  <c r="Q211" i="5"/>
  <c r="Q212" i="5"/>
  <c r="Q213" i="5"/>
  <c r="Q214" i="5"/>
  <c r="Q2" i="5"/>
  <c r="M11" i="1" a="1"/>
  <c r="N11" i="1" s="1" a="1"/>
  <c r="M12" i="1" a="1"/>
  <c r="N12" i="1" s="1" a="1"/>
  <c r="M13" i="1" a="1"/>
  <c r="N13" i="1" s="1" a="1"/>
  <c r="M14" i="1" a="1"/>
  <c r="N14" i="1" s="1" a="1"/>
  <c r="M15" i="1" a="1"/>
  <c r="N15" i="1" s="1" a="1"/>
  <c r="M16" i="1" a="1"/>
  <c r="N16" i="1" s="1" a="1"/>
  <c r="M17" i="1" a="1"/>
  <c r="N17" i="1" s="1" a="1"/>
  <c r="M18" i="1" a="1"/>
  <c r="N18" i="1" s="1" a="1"/>
  <c r="M19" i="1" a="1"/>
  <c r="N19" i="1" s="1" a="1"/>
  <c r="M3" i="1" a="1"/>
  <c r="N3" i="1" s="1" a="1"/>
  <c r="M4" i="1" a="1"/>
  <c r="N4" i="1" s="1" a="1"/>
  <c r="M5" i="1" a="1"/>
  <c r="N5" i="1" s="1" a="1"/>
  <c r="M6" i="1" a="1"/>
  <c r="N6" i="1" s="1" a="1"/>
  <c r="M7" i="1" a="1"/>
  <c r="N7" i="1" s="1" a="1"/>
  <c r="M8" i="1" a="1"/>
  <c r="N8" i="1" s="1" a="1"/>
  <c r="M9" i="1" a="1"/>
  <c r="N9" i="1" s="1" a="1"/>
  <c r="M10" i="1" a="1"/>
  <c r="N10" i="1" s="1" a="1"/>
  <c r="M2" i="1" a="1"/>
  <c r="N2" i="1" s="1" a="1"/>
  <c r="P3" i="5"/>
  <c r="P4" i="5"/>
  <c r="P5" i="5"/>
  <c r="P6" i="5"/>
  <c r="P7" i="5"/>
  <c r="P8" i="5"/>
  <c r="P9" i="5"/>
  <c r="P10" i="5"/>
  <c r="P11" i="5"/>
  <c r="P12" i="5"/>
  <c r="P13" i="5"/>
  <c r="P14" i="5"/>
  <c r="P15" i="5"/>
  <c r="P16" i="5"/>
  <c r="P17" i="5"/>
  <c r="P18" i="5"/>
  <c r="P19" i="5"/>
  <c r="P20" i="5"/>
  <c r="P21" i="5"/>
  <c r="P22" i="5"/>
  <c r="P23" i="5"/>
  <c r="P24" i="5"/>
  <c r="P25" i="5"/>
  <c r="P26" i="5"/>
  <c r="P27" i="5"/>
  <c r="P28" i="5"/>
  <c r="P29" i="5"/>
  <c r="P30" i="5"/>
  <c r="P31" i="5"/>
  <c r="P32" i="5"/>
  <c r="P33" i="5"/>
  <c r="P34" i="5"/>
  <c r="P35" i="5"/>
  <c r="P36" i="5"/>
  <c r="P37" i="5"/>
  <c r="P38" i="5"/>
  <c r="P39" i="5"/>
  <c r="P40" i="5"/>
  <c r="P41" i="5"/>
  <c r="P42" i="5"/>
  <c r="P43" i="5"/>
  <c r="P44" i="5"/>
  <c r="P45" i="5"/>
  <c r="P46" i="5"/>
  <c r="P47" i="5"/>
  <c r="P48" i="5"/>
  <c r="P49" i="5"/>
  <c r="P50" i="5"/>
  <c r="P51" i="5"/>
  <c r="P52" i="5"/>
  <c r="P53" i="5"/>
  <c r="P54" i="5"/>
  <c r="P55" i="5"/>
  <c r="P56" i="5"/>
  <c r="P57" i="5"/>
  <c r="P58" i="5"/>
  <c r="P59" i="5"/>
  <c r="P60" i="5"/>
  <c r="P61" i="5"/>
  <c r="P62" i="5"/>
  <c r="P63" i="5"/>
  <c r="P64" i="5"/>
  <c r="P65" i="5"/>
  <c r="P66" i="5"/>
  <c r="P67" i="5"/>
  <c r="P119" i="5"/>
  <c r="P120" i="5"/>
  <c r="P121" i="5"/>
  <c r="P122" i="5"/>
  <c r="P123" i="5"/>
  <c r="P124" i="5"/>
  <c r="P125" i="5"/>
  <c r="P126" i="5"/>
  <c r="P127" i="5"/>
  <c r="P128" i="5"/>
  <c r="P129" i="5"/>
  <c r="P130" i="5"/>
  <c r="P131" i="5"/>
  <c r="P132" i="5"/>
  <c r="P133" i="5"/>
  <c r="P134" i="5"/>
  <c r="P135" i="5"/>
  <c r="P136" i="5"/>
  <c r="P137" i="5"/>
  <c r="P138" i="5"/>
  <c r="P139" i="5"/>
  <c r="P140" i="5"/>
  <c r="P141" i="5"/>
  <c r="P142" i="5"/>
  <c r="P143" i="5"/>
  <c r="P144" i="5"/>
  <c r="P145" i="5"/>
  <c r="P146" i="5"/>
  <c r="P147" i="5"/>
  <c r="P148" i="5"/>
  <c r="P149" i="5"/>
  <c r="P150" i="5"/>
  <c r="P151" i="5"/>
  <c r="P152" i="5"/>
  <c r="P153" i="5"/>
  <c r="P154" i="5"/>
  <c r="P155" i="5"/>
  <c r="P156" i="5"/>
  <c r="P157" i="5"/>
  <c r="P158" i="5"/>
  <c r="P159" i="5"/>
  <c r="P160" i="5"/>
  <c r="P161" i="5"/>
  <c r="P162" i="5"/>
  <c r="P163" i="5"/>
  <c r="P164" i="5"/>
  <c r="P165" i="5"/>
  <c r="P166" i="5"/>
  <c r="P167" i="5"/>
  <c r="P168" i="5"/>
  <c r="P169" i="5"/>
  <c r="P170" i="5"/>
  <c r="P171" i="5"/>
  <c r="P172" i="5"/>
  <c r="P173" i="5"/>
  <c r="P174" i="5"/>
  <c r="P175" i="5"/>
  <c r="P176" i="5"/>
  <c r="P177" i="5"/>
  <c r="P178" i="5"/>
  <c r="P179" i="5"/>
  <c r="P180" i="5"/>
  <c r="P181" i="5"/>
  <c r="P182" i="5"/>
  <c r="P183" i="5"/>
  <c r="P184" i="5"/>
  <c r="P185" i="5"/>
  <c r="P186" i="5"/>
  <c r="P187" i="5"/>
  <c r="P188" i="5"/>
  <c r="P189" i="5"/>
  <c r="P190" i="5"/>
  <c r="P191" i="5"/>
  <c r="P192" i="5"/>
  <c r="P193" i="5"/>
  <c r="P194" i="5"/>
  <c r="P195" i="5"/>
  <c r="P196" i="5"/>
  <c r="P197" i="5"/>
  <c r="P198" i="5"/>
  <c r="P199" i="5"/>
  <c r="P200" i="5"/>
  <c r="P201" i="5"/>
  <c r="P202" i="5"/>
  <c r="P203" i="5"/>
  <c r="P204" i="5"/>
  <c r="P205" i="5"/>
  <c r="P206" i="5"/>
  <c r="P207" i="5"/>
  <c r="P208" i="5"/>
  <c r="P209" i="5"/>
  <c r="P210" i="5"/>
  <c r="P211" i="5"/>
  <c r="P212" i="5"/>
  <c r="P213" i="5"/>
  <c r="P214" i="5"/>
  <c r="P2" i="5"/>
  <c r="N3" i="5"/>
  <c r="N4" i="5"/>
  <c r="N5" i="5"/>
  <c r="N6" i="5"/>
  <c r="O6" i="5" s="1"/>
  <c r="N7" i="5"/>
  <c r="O7" i="5" s="1"/>
  <c r="N8" i="5"/>
  <c r="O8" i="5" s="1"/>
  <c r="N9" i="5"/>
  <c r="N10" i="5"/>
  <c r="N11" i="5"/>
  <c r="N12" i="5"/>
  <c r="N13" i="5"/>
  <c r="N14" i="5"/>
  <c r="O14" i="5" s="1"/>
  <c r="N15" i="5"/>
  <c r="N16" i="5"/>
  <c r="O16" i="5" s="1"/>
  <c r="N17" i="5"/>
  <c r="O17" i="5" s="1"/>
  <c r="N18" i="5"/>
  <c r="N19" i="5"/>
  <c r="N20" i="5"/>
  <c r="N21" i="5"/>
  <c r="O21" i="5" s="1"/>
  <c r="N22" i="5"/>
  <c r="O22" i="5" s="1"/>
  <c r="N23" i="5"/>
  <c r="O23" i="5" s="1"/>
  <c r="N24" i="5"/>
  <c r="O24" i="5" s="1"/>
  <c r="N25" i="5"/>
  <c r="N26" i="5"/>
  <c r="O26" i="5" s="1"/>
  <c r="N27" i="5"/>
  <c r="O27" i="5" s="1"/>
  <c r="N28" i="5"/>
  <c r="N29" i="5"/>
  <c r="O29" i="5" s="1"/>
  <c r="N30" i="5"/>
  <c r="O30" i="5" s="1"/>
  <c r="N31" i="5"/>
  <c r="O31" i="5" s="1"/>
  <c r="N32" i="5"/>
  <c r="O32" i="5" s="1"/>
  <c r="N33" i="5"/>
  <c r="N34" i="5"/>
  <c r="N35" i="5"/>
  <c r="O35" i="5" s="1"/>
  <c r="N36" i="5"/>
  <c r="O36" i="5" s="1"/>
  <c r="N37" i="5"/>
  <c r="O37" i="5" s="1"/>
  <c r="N38" i="5"/>
  <c r="N39" i="5"/>
  <c r="O39" i="5" s="1"/>
  <c r="N40" i="5"/>
  <c r="O40" i="5" s="1"/>
  <c r="N41" i="5"/>
  <c r="O41" i="5" s="1"/>
  <c r="N42" i="5"/>
  <c r="N43" i="5"/>
  <c r="O43" i="5" s="1"/>
  <c r="N44" i="5"/>
  <c r="N45" i="5"/>
  <c r="O45" i="5" s="1"/>
  <c r="N46" i="5"/>
  <c r="O46" i="5" s="1"/>
  <c r="N47" i="5"/>
  <c r="O47" i="5" s="1"/>
  <c r="N48" i="5"/>
  <c r="O48" i="5" s="1"/>
  <c r="N49" i="5"/>
  <c r="N50" i="5"/>
  <c r="N51" i="5"/>
  <c r="N52" i="5"/>
  <c r="O52" i="5" s="1"/>
  <c r="N53" i="5"/>
  <c r="O53" i="5" s="1"/>
  <c r="N54" i="5"/>
  <c r="O54" i="5" s="1"/>
  <c r="N55" i="5"/>
  <c r="N56" i="5"/>
  <c r="O56" i="5" s="1"/>
  <c r="N57" i="5"/>
  <c r="O57" i="5" s="1"/>
  <c r="N58" i="5"/>
  <c r="N59" i="5"/>
  <c r="N60" i="5"/>
  <c r="O60" i="5" s="1"/>
  <c r="N61" i="5"/>
  <c r="O61" i="5" s="1"/>
  <c r="N62" i="5"/>
  <c r="N63" i="5"/>
  <c r="O63" i="5" s="1"/>
  <c r="N64" i="5"/>
  <c r="O64" i="5" s="1"/>
  <c r="N65" i="5"/>
  <c r="N66" i="5"/>
  <c r="O66" i="5" s="1"/>
  <c r="N67" i="5"/>
  <c r="O67" i="5" s="1"/>
  <c r="N68" i="5"/>
  <c r="O68" i="5" s="1"/>
  <c r="N69" i="5"/>
  <c r="N70" i="5"/>
  <c r="O70" i="5" s="1"/>
  <c r="N71" i="5"/>
  <c r="O71" i="5" s="1"/>
  <c r="N72" i="5"/>
  <c r="N73" i="5"/>
  <c r="N74" i="5"/>
  <c r="N75" i="5"/>
  <c r="N76" i="5"/>
  <c r="O76" i="5" s="1"/>
  <c r="N77" i="5"/>
  <c r="O77" i="5" s="1"/>
  <c r="N78" i="5"/>
  <c r="O78" i="5" s="1"/>
  <c r="N79" i="5"/>
  <c r="O79" i="5" s="1"/>
  <c r="N80" i="5"/>
  <c r="O80" i="5" s="1"/>
  <c r="N81" i="5"/>
  <c r="O81" i="5" s="1"/>
  <c r="N82" i="5"/>
  <c r="N83" i="5"/>
  <c r="O83" i="5" s="1"/>
  <c r="N84" i="5"/>
  <c r="O84" i="5" s="1"/>
  <c r="N85" i="5"/>
  <c r="N86" i="5"/>
  <c r="O86" i="5" s="1"/>
  <c r="N87" i="5"/>
  <c r="O87" i="5" s="1"/>
  <c r="N88" i="5"/>
  <c r="N89" i="5"/>
  <c r="O89" i="5" s="1"/>
  <c r="N90" i="5"/>
  <c r="O90" i="5" s="1"/>
  <c r="N91" i="5"/>
  <c r="O91" i="5" s="1"/>
  <c r="N92" i="5"/>
  <c r="O92" i="5" s="1"/>
  <c r="N93" i="5"/>
  <c r="O93" i="5" s="1"/>
  <c r="N94" i="5"/>
  <c r="N95" i="5"/>
  <c r="N96" i="5"/>
  <c r="O96" i="5" s="1"/>
  <c r="N97" i="5"/>
  <c r="O97" i="5" s="1"/>
  <c r="N98" i="5"/>
  <c r="O98" i="5" s="1"/>
  <c r="N99" i="5"/>
  <c r="N100" i="5"/>
  <c r="O100" i="5" s="1"/>
  <c r="N101" i="5"/>
  <c r="O101" i="5" s="1"/>
  <c r="N102" i="5"/>
  <c r="O102" i="5" s="1"/>
  <c r="N103" i="5"/>
  <c r="O103" i="5" s="1"/>
  <c r="N104" i="5"/>
  <c r="N105" i="5"/>
  <c r="O105" i="5" s="1"/>
  <c r="N106" i="5"/>
  <c r="O106" i="5" s="1"/>
  <c r="N107" i="5"/>
  <c r="N108" i="5"/>
  <c r="O108" i="5" s="1"/>
  <c r="N109" i="5"/>
  <c r="N110" i="5"/>
  <c r="O110" i="5" s="1"/>
  <c r="N111" i="5"/>
  <c r="O111" i="5" s="1"/>
  <c r="N112" i="5"/>
  <c r="O112" i="5" s="1"/>
  <c r="N113" i="5"/>
  <c r="N114" i="5"/>
  <c r="N115" i="5"/>
  <c r="N116" i="5"/>
  <c r="O116" i="5" s="1"/>
  <c r="N117" i="5"/>
  <c r="O117" i="5" s="1"/>
  <c r="N118" i="5"/>
  <c r="O118" i="5" s="1"/>
  <c r="N119" i="5"/>
  <c r="O119" i="5" s="1"/>
  <c r="N120" i="5"/>
  <c r="O120" i="5" s="1"/>
  <c r="N121" i="5"/>
  <c r="O121" i="5" s="1"/>
  <c r="N122" i="5"/>
  <c r="O122" i="5" s="1"/>
  <c r="N123" i="5"/>
  <c r="O123" i="5" s="1"/>
  <c r="N124" i="5"/>
  <c r="O124" i="5" s="1"/>
  <c r="N125" i="5"/>
  <c r="O125" i="5" s="1"/>
  <c r="N126" i="5"/>
  <c r="N127" i="5"/>
  <c r="O127" i="5" s="1"/>
  <c r="N128" i="5"/>
  <c r="O128" i="5" s="1"/>
  <c r="N129" i="5"/>
  <c r="O129" i="5" s="1"/>
  <c r="N130" i="5"/>
  <c r="N131" i="5"/>
  <c r="O131" i="5" s="1"/>
  <c r="N132" i="5"/>
  <c r="O132" i="5" s="1"/>
  <c r="N133" i="5"/>
  <c r="O133" i="5" s="1"/>
  <c r="N134" i="5"/>
  <c r="N135" i="5"/>
  <c r="N136" i="5"/>
  <c r="O136" i="5" s="1"/>
  <c r="N137" i="5"/>
  <c r="O137" i="5" s="1"/>
  <c r="N138" i="5"/>
  <c r="O138" i="5" s="1"/>
  <c r="N139" i="5"/>
  <c r="O139" i="5" s="1"/>
  <c r="N140" i="5"/>
  <c r="O140" i="5" s="1"/>
  <c r="N141" i="5"/>
  <c r="O141" i="5" s="1"/>
  <c r="N142" i="5"/>
  <c r="N143" i="5"/>
  <c r="O143" i="5" s="1"/>
  <c r="N144" i="5"/>
  <c r="O144" i="5" s="1"/>
  <c r="N145" i="5"/>
  <c r="O145" i="5" s="1"/>
  <c r="N146" i="5"/>
  <c r="O146" i="5" s="1"/>
  <c r="N147" i="5"/>
  <c r="N148" i="5"/>
  <c r="O148" i="5" s="1"/>
  <c r="N149" i="5"/>
  <c r="O149" i="5" s="1"/>
  <c r="N150" i="5"/>
  <c r="O150" i="5" s="1"/>
  <c r="N151" i="5"/>
  <c r="O151" i="5" s="1"/>
  <c r="N152" i="5"/>
  <c r="O152" i="5" s="1"/>
  <c r="N153" i="5"/>
  <c r="O153" i="5" s="1"/>
  <c r="N154" i="5"/>
  <c r="O154" i="5" s="1"/>
  <c r="N155" i="5"/>
  <c r="O155" i="5" s="1"/>
  <c r="N156" i="5"/>
  <c r="O156" i="5" s="1"/>
  <c r="N157" i="5"/>
  <c r="N158" i="5"/>
  <c r="O158" i="5" s="1"/>
  <c r="N159" i="5"/>
  <c r="N160" i="5"/>
  <c r="O160" i="5" s="1"/>
  <c r="N161" i="5"/>
  <c r="O161" i="5" s="1"/>
  <c r="N162" i="5"/>
  <c r="O162" i="5" s="1"/>
  <c r="N163" i="5"/>
  <c r="N164" i="5"/>
  <c r="O164" i="5" s="1"/>
  <c r="N165" i="5"/>
  <c r="N166" i="5"/>
  <c r="O166" i="5" s="1"/>
  <c r="N167" i="5"/>
  <c r="O167" i="5" s="1"/>
  <c r="N168" i="5"/>
  <c r="O168" i="5" s="1"/>
  <c r="N169" i="5"/>
  <c r="N170" i="5"/>
  <c r="N171" i="5"/>
  <c r="O171" i="5" s="1"/>
  <c r="N172" i="5"/>
  <c r="O172" i="5" s="1"/>
  <c r="N173" i="5"/>
  <c r="O173" i="5" s="1"/>
  <c r="N174" i="5"/>
  <c r="O174" i="5" s="1"/>
  <c r="N175" i="5"/>
  <c r="O175" i="5" s="1"/>
  <c r="N176" i="5"/>
  <c r="O176" i="5" s="1"/>
  <c r="N177" i="5"/>
  <c r="N178" i="5"/>
  <c r="N179" i="5"/>
  <c r="N180" i="5"/>
  <c r="O180" i="5" s="1"/>
  <c r="N181" i="5"/>
  <c r="O181" i="5" s="1"/>
  <c r="N182" i="5"/>
  <c r="O182" i="5" s="1"/>
  <c r="N183" i="5"/>
  <c r="O183" i="5" s="1"/>
  <c r="N184" i="5"/>
  <c r="O184" i="5" s="1"/>
  <c r="N185" i="5"/>
  <c r="O185" i="5" s="1"/>
  <c r="N186" i="5"/>
  <c r="N187" i="5"/>
  <c r="O187" i="5" s="1"/>
  <c r="N188" i="5"/>
  <c r="O188" i="5" s="1"/>
  <c r="N189" i="5"/>
  <c r="O189" i="5" s="1"/>
  <c r="N190" i="5"/>
  <c r="N191" i="5"/>
  <c r="O191" i="5" s="1"/>
  <c r="N192" i="5"/>
  <c r="O192" i="5" s="1"/>
  <c r="N193" i="5"/>
  <c r="O193" i="5" s="1"/>
  <c r="N194" i="5"/>
  <c r="N195" i="5"/>
  <c r="N196" i="5"/>
  <c r="N197" i="5"/>
  <c r="N198" i="5"/>
  <c r="N199" i="5"/>
  <c r="N200" i="5"/>
  <c r="N201" i="5"/>
  <c r="N202" i="5"/>
  <c r="N203" i="5"/>
  <c r="N204" i="5"/>
  <c r="N205" i="5"/>
  <c r="O205" i="5" s="1"/>
  <c r="N206" i="5"/>
  <c r="O206" i="5" s="1"/>
  <c r="N207" i="5"/>
  <c r="O207" i="5" s="1"/>
  <c r="N208" i="5"/>
  <c r="O208" i="5" s="1"/>
  <c r="N209" i="5"/>
  <c r="N210" i="5"/>
  <c r="O210" i="5" s="1"/>
  <c r="N211" i="5"/>
  <c r="O211" i="5" s="1"/>
  <c r="N212" i="5"/>
  <c r="O212" i="5" s="1"/>
  <c r="N213" i="5"/>
  <c r="N214" i="5"/>
  <c r="O214" i="5" s="1"/>
  <c r="N2" i="5"/>
  <c r="H3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2" i="3"/>
  <c r="L5" i="11"/>
  <c r="O5" i="11" s="1" a="1"/>
  <c r="F10" i="11"/>
  <c r="F8" i="11"/>
  <c r="F5" i="11"/>
  <c r="O3" i="5"/>
  <c r="O4" i="5"/>
  <c r="O5" i="5"/>
  <c r="O9" i="5"/>
  <c r="O10" i="5"/>
  <c r="O11" i="5"/>
  <c r="O12" i="5"/>
  <c r="O13" i="5"/>
  <c r="O15" i="5"/>
  <c r="O18" i="5"/>
  <c r="O19" i="5"/>
  <c r="O20" i="5"/>
  <c r="O25" i="5"/>
  <c r="O28" i="5"/>
  <c r="O33" i="5"/>
  <c r="O34" i="5"/>
  <c r="O38" i="5"/>
  <c r="O42" i="5"/>
  <c r="O44" i="5"/>
  <c r="O49" i="5"/>
  <c r="O50" i="5"/>
  <c r="O51" i="5"/>
  <c r="O55" i="5"/>
  <c r="O58" i="5"/>
  <c r="O59" i="5"/>
  <c r="O62" i="5"/>
  <c r="O65" i="5"/>
  <c r="O69" i="5"/>
  <c r="O72" i="5"/>
  <c r="O73" i="5"/>
  <c r="O74" i="5"/>
  <c r="O75" i="5"/>
  <c r="O82" i="5"/>
  <c r="O85" i="5"/>
  <c r="O88" i="5"/>
  <c r="O94" i="5"/>
  <c r="O95" i="5"/>
  <c r="O99" i="5"/>
  <c r="O104" i="5"/>
  <c r="O107" i="5"/>
  <c r="O109" i="5"/>
  <c r="O113" i="5"/>
  <c r="O114" i="5"/>
  <c r="O115" i="5"/>
  <c r="O126" i="5"/>
  <c r="O130" i="5"/>
  <c r="O134" i="5"/>
  <c r="O135" i="5"/>
  <c r="O142" i="5"/>
  <c r="O147" i="5"/>
  <c r="O157" i="5"/>
  <c r="O159" i="5"/>
  <c r="O163" i="5"/>
  <c r="O165" i="5"/>
  <c r="O169" i="5"/>
  <c r="O170" i="5"/>
  <c r="O177" i="5"/>
  <c r="O178" i="5"/>
  <c r="O179" i="5"/>
  <c r="O186" i="5"/>
  <c r="O190" i="5"/>
  <c r="O194" i="5"/>
  <c r="O195" i="5"/>
  <c r="O196" i="5"/>
  <c r="O197" i="5"/>
  <c r="O198" i="5"/>
  <c r="O199" i="5"/>
  <c r="O200" i="5"/>
  <c r="O201" i="5"/>
  <c r="O202" i="5"/>
  <c r="O203" i="5"/>
  <c r="O204" i="5"/>
  <c r="O209" i="5"/>
  <c r="O213" i="5"/>
  <c r="O2" i="5"/>
  <c r="E2" i="1"/>
  <c r="E3" i="1"/>
  <c r="Q58" i="5" s="1"/>
  <c r="E4" i="1"/>
  <c r="Q59" i="5" s="1"/>
  <c r="E5" i="1"/>
  <c r="E6" i="1"/>
  <c r="E7" i="1"/>
  <c r="Q61" i="5" s="1"/>
  <c r="E8" i="1"/>
  <c r="E9" i="1"/>
  <c r="E10" i="1"/>
  <c r="E11" i="1"/>
  <c r="E12" i="1"/>
  <c r="Q62" i="5" s="1"/>
  <c r="E13" i="1"/>
  <c r="Q57" i="5" s="1"/>
  <c r="E14" i="1"/>
  <c r="E15" i="1"/>
  <c r="E16" i="1"/>
  <c r="E17" i="1"/>
  <c r="E18" i="1"/>
  <c r="Q63" i="5" s="1"/>
  <c r="E19" i="1"/>
  <c r="E20" i="1"/>
  <c r="E21" i="1"/>
  <c r="Q60" i="5" s="1"/>
  <c r="C46" i="2"/>
  <c r="K2" i="5"/>
  <c r="K3" i="5"/>
  <c r="L3" i="5"/>
  <c r="M3" i="5"/>
  <c r="K4" i="5"/>
  <c r="L4" i="5"/>
  <c r="M4" i="5"/>
  <c r="K5" i="5"/>
  <c r="L5" i="5"/>
  <c r="M5" i="5"/>
  <c r="K6" i="5"/>
  <c r="L6" i="5"/>
  <c r="M6" i="5"/>
  <c r="K7" i="5"/>
  <c r="L7" i="5"/>
  <c r="M7" i="5"/>
  <c r="K8" i="5"/>
  <c r="L8" i="5"/>
  <c r="M8" i="5"/>
  <c r="K9" i="5"/>
  <c r="L9" i="5"/>
  <c r="M9" i="5"/>
  <c r="K10" i="5"/>
  <c r="L10" i="5"/>
  <c r="M10" i="5"/>
  <c r="K11" i="5"/>
  <c r="L11" i="5"/>
  <c r="M11" i="5"/>
  <c r="K12" i="5"/>
  <c r="L12" i="5"/>
  <c r="M12" i="5"/>
  <c r="K13" i="5"/>
  <c r="L13" i="5"/>
  <c r="M13" i="5"/>
  <c r="K14" i="5"/>
  <c r="L14" i="5"/>
  <c r="M14" i="5"/>
  <c r="K15" i="5"/>
  <c r="L15" i="5"/>
  <c r="M15" i="5"/>
  <c r="K16" i="5"/>
  <c r="L16" i="5"/>
  <c r="M16" i="5"/>
  <c r="K17" i="5"/>
  <c r="L17" i="5"/>
  <c r="M17" i="5"/>
  <c r="K18" i="5"/>
  <c r="L18" i="5"/>
  <c r="M18" i="5"/>
  <c r="K19" i="5"/>
  <c r="L19" i="5"/>
  <c r="M19" i="5"/>
  <c r="K20" i="5"/>
  <c r="L20" i="5"/>
  <c r="M20" i="5"/>
  <c r="K21" i="5"/>
  <c r="L21" i="5"/>
  <c r="M21" i="5"/>
  <c r="K22" i="5"/>
  <c r="L22" i="5"/>
  <c r="M22" i="5"/>
  <c r="K23" i="5"/>
  <c r="L23" i="5"/>
  <c r="M23" i="5"/>
  <c r="K24" i="5"/>
  <c r="L24" i="5"/>
  <c r="M24" i="5"/>
  <c r="K25" i="5"/>
  <c r="L25" i="5"/>
  <c r="M25" i="5"/>
  <c r="K26" i="5"/>
  <c r="L26" i="5"/>
  <c r="M26" i="5"/>
  <c r="K27" i="5"/>
  <c r="L27" i="5"/>
  <c r="M27" i="5"/>
  <c r="K28" i="5"/>
  <c r="L28" i="5"/>
  <c r="M28" i="5"/>
  <c r="K29" i="5"/>
  <c r="L29" i="5"/>
  <c r="M29" i="5"/>
  <c r="K30" i="5"/>
  <c r="L30" i="5"/>
  <c r="M30" i="5"/>
  <c r="K31" i="5"/>
  <c r="L31" i="5"/>
  <c r="M31" i="5"/>
  <c r="K32" i="5"/>
  <c r="L32" i="5"/>
  <c r="M32" i="5"/>
  <c r="K33" i="5"/>
  <c r="L33" i="5"/>
  <c r="M33" i="5"/>
  <c r="K34" i="5"/>
  <c r="L34" i="5"/>
  <c r="M34" i="5"/>
  <c r="K35" i="5"/>
  <c r="L35" i="5"/>
  <c r="M35" i="5"/>
  <c r="K36" i="5"/>
  <c r="L36" i="5"/>
  <c r="M36" i="5"/>
  <c r="K37" i="5"/>
  <c r="L37" i="5"/>
  <c r="M37" i="5"/>
  <c r="K38" i="5"/>
  <c r="L38" i="5"/>
  <c r="M38" i="5"/>
  <c r="K39" i="5"/>
  <c r="L39" i="5"/>
  <c r="M39" i="5"/>
  <c r="K40" i="5"/>
  <c r="L40" i="5"/>
  <c r="M40" i="5"/>
  <c r="K41" i="5"/>
  <c r="L41" i="5"/>
  <c r="M41" i="5"/>
  <c r="K42" i="5"/>
  <c r="L42" i="5"/>
  <c r="M42" i="5"/>
  <c r="K43" i="5"/>
  <c r="L43" i="5"/>
  <c r="M43" i="5"/>
  <c r="K44" i="5"/>
  <c r="L44" i="5"/>
  <c r="M44" i="5"/>
  <c r="K45" i="5"/>
  <c r="L45" i="5"/>
  <c r="M45" i="5"/>
  <c r="K46" i="5"/>
  <c r="L46" i="5"/>
  <c r="M46" i="5"/>
  <c r="K47" i="5"/>
  <c r="L47" i="5"/>
  <c r="M47" i="5"/>
  <c r="K48" i="5"/>
  <c r="L48" i="5"/>
  <c r="M48" i="5"/>
  <c r="K49" i="5"/>
  <c r="L49" i="5"/>
  <c r="M49" i="5"/>
  <c r="K50" i="5"/>
  <c r="L50" i="5"/>
  <c r="M50" i="5"/>
  <c r="K51" i="5"/>
  <c r="L51" i="5"/>
  <c r="M51" i="5"/>
  <c r="K52" i="5"/>
  <c r="L52" i="5"/>
  <c r="M52" i="5"/>
  <c r="K53" i="5"/>
  <c r="L53" i="5"/>
  <c r="M53" i="5"/>
  <c r="K54" i="5"/>
  <c r="L54" i="5"/>
  <c r="M54" i="5"/>
  <c r="K55" i="5"/>
  <c r="L55" i="5"/>
  <c r="M55" i="5"/>
  <c r="K56" i="5"/>
  <c r="L56" i="5"/>
  <c r="M56" i="5"/>
  <c r="K57" i="5"/>
  <c r="L57" i="5"/>
  <c r="M57" i="5"/>
  <c r="K58" i="5"/>
  <c r="L58" i="5"/>
  <c r="M58" i="5"/>
  <c r="K59" i="5"/>
  <c r="L59" i="5"/>
  <c r="M59" i="5"/>
  <c r="K60" i="5"/>
  <c r="L60" i="5"/>
  <c r="M60" i="5"/>
  <c r="K61" i="5"/>
  <c r="L61" i="5"/>
  <c r="M61" i="5"/>
  <c r="K62" i="5"/>
  <c r="L62" i="5"/>
  <c r="M62" i="5"/>
  <c r="K63" i="5"/>
  <c r="L63" i="5"/>
  <c r="M63" i="5"/>
  <c r="K64" i="5"/>
  <c r="L64" i="5"/>
  <c r="M64" i="5"/>
  <c r="K65" i="5"/>
  <c r="L65" i="5"/>
  <c r="M65" i="5"/>
  <c r="K66" i="5"/>
  <c r="L66" i="5"/>
  <c r="M66" i="5"/>
  <c r="K67" i="5"/>
  <c r="L67" i="5"/>
  <c r="M67" i="5"/>
  <c r="K68" i="5"/>
  <c r="L68" i="5"/>
  <c r="M68" i="5"/>
  <c r="K69" i="5"/>
  <c r="L69" i="5"/>
  <c r="M69" i="5"/>
  <c r="K70" i="5"/>
  <c r="L70" i="5"/>
  <c r="M70" i="5"/>
  <c r="K71" i="5"/>
  <c r="L71" i="5"/>
  <c r="M71" i="5"/>
  <c r="K72" i="5"/>
  <c r="L72" i="5"/>
  <c r="M72" i="5"/>
  <c r="K73" i="5"/>
  <c r="L73" i="5"/>
  <c r="M73" i="5"/>
  <c r="K74" i="5"/>
  <c r="L74" i="5"/>
  <c r="M74" i="5"/>
  <c r="K75" i="5"/>
  <c r="L75" i="5"/>
  <c r="M75" i="5"/>
  <c r="K76" i="5"/>
  <c r="L76" i="5"/>
  <c r="M76" i="5"/>
  <c r="K77" i="5"/>
  <c r="L77" i="5"/>
  <c r="M77" i="5"/>
  <c r="K78" i="5"/>
  <c r="L78" i="5"/>
  <c r="M78" i="5"/>
  <c r="K79" i="5"/>
  <c r="L79" i="5"/>
  <c r="M79" i="5"/>
  <c r="K80" i="5"/>
  <c r="L80" i="5"/>
  <c r="M80" i="5"/>
  <c r="K81" i="5"/>
  <c r="L81" i="5"/>
  <c r="M81" i="5"/>
  <c r="K82" i="5"/>
  <c r="L82" i="5"/>
  <c r="M82" i="5"/>
  <c r="K83" i="5"/>
  <c r="L83" i="5"/>
  <c r="M83" i="5"/>
  <c r="K84" i="5"/>
  <c r="L84" i="5"/>
  <c r="M84" i="5"/>
  <c r="K85" i="5"/>
  <c r="L85" i="5"/>
  <c r="M85" i="5"/>
  <c r="K86" i="5"/>
  <c r="L86" i="5"/>
  <c r="M86" i="5"/>
  <c r="K87" i="5"/>
  <c r="L87" i="5"/>
  <c r="M87" i="5"/>
  <c r="K88" i="5"/>
  <c r="L88" i="5"/>
  <c r="M88" i="5"/>
  <c r="K89" i="5"/>
  <c r="L89" i="5"/>
  <c r="M89" i="5"/>
  <c r="K90" i="5"/>
  <c r="L90" i="5"/>
  <c r="M90" i="5"/>
  <c r="K91" i="5"/>
  <c r="L91" i="5"/>
  <c r="M91" i="5"/>
  <c r="K92" i="5"/>
  <c r="L92" i="5"/>
  <c r="M92" i="5"/>
  <c r="K93" i="5"/>
  <c r="L93" i="5"/>
  <c r="M93" i="5"/>
  <c r="K94" i="5"/>
  <c r="L94" i="5"/>
  <c r="M94" i="5"/>
  <c r="K95" i="5"/>
  <c r="L95" i="5"/>
  <c r="M95" i="5"/>
  <c r="K96" i="5"/>
  <c r="L96" i="5"/>
  <c r="M96" i="5"/>
  <c r="K97" i="5"/>
  <c r="L97" i="5"/>
  <c r="M97" i="5"/>
  <c r="K98" i="5"/>
  <c r="L98" i="5"/>
  <c r="M98" i="5"/>
  <c r="K99" i="5"/>
  <c r="L99" i="5"/>
  <c r="M99" i="5"/>
  <c r="K100" i="5"/>
  <c r="L100" i="5"/>
  <c r="M100" i="5"/>
  <c r="K101" i="5"/>
  <c r="L101" i="5"/>
  <c r="M101" i="5"/>
  <c r="K102" i="5"/>
  <c r="L102" i="5"/>
  <c r="M102" i="5"/>
  <c r="K103" i="5"/>
  <c r="L103" i="5"/>
  <c r="M103" i="5"/>
  <c r="K104" i="5"/>
  <c r="L104" i="5"/>
  <c r="M104" i="5"/>
  <c r="K105" i="5"/>
  <c r="L105" i="5"/>
  <c r="M105" i="5"/>
  <c r="K106" i="5"/>
  <c r="L106" i="5"/>
  <c r="M106" i="5"/>
  <c r="K107" i="5"/>
  <c r="L107" i="5"/>
  <c r="M107" i="5"/>
  <c r="K108" i="5"/>
  <c r="L108" i="5"/>
  <c r="M108" i="5"/>
  <c r="K109" i="5"/>
  <c r="L109" i="5"/>
  <c r="M109" i="5"/>
  <c r="K110" i="5"/>
  <c r="L110" i="5"/>
  <c r="M110" i="5"/>
  <c r="K111" i="5"/>
  <c r="L111" i="5"/>
  <c r="M111" i="5"/>
  <c r="K112" i="5"/>
  <c r="L112" i="5"/>
  <c r="M112" i="5"/>
  <c r="K113" i="5"/>
  <c r="L113" i="5"/>
  <c r="M113" i="5"/>
  <c r="K114" i="5"/>
  <c r="L114" i="5"/>
  <c r="M114" i="5"/>
  <c r="K115" i="5"/>
  <c r="L115" i="5"/>
  <c r="M115" i="5"/>
  <c r="K116" i="5"/>
  <c r="L116" i="5"/>
  <c r="M116" i="5"/>
  <c r="K117" i="5"/>
  <c r="L117" i="5"/>
  <c r="M117" i="5"/>
  <c r="K118" i="5"/>
  <c r="L118" i="5"/>
  <c r="M118" i="5"/>
  <c r="K119" i="5"/>
  <c r="L119" i="5"/>
  <c r="M119" i="5"/>
  <c r="K120" i="5"/>
  <c r="L120" i="5"/>
  <c r="M120" i="5"/>
  <c r="K121" i="5"/>
  <c r="L121" i="5"/>
  <c r="M121" i="5"/>
  <c r="K122" i="5"/>
  <c r="L122" i="5"/>
  <c r="M122" i="5"/>
  <c r="K123" i="5"/>
  <c r="L123" i="5"/>
  <c r="M123" i="5"/>
  <c r="K124" i="5"/>
  <c r="L124" i="5"/>
  <c r="M124" i="5"/>
  <c r="K125" i="5"/>
  <c r="L125" i="5"/>
  <c r="M125" i="5"/>
  <c r="K126" i="5"/>
  <c r="L126" i="5"/>
  <c r="M126" i="5"/>
  <c r="K127" i="5"/>
  <c r="L127" i="5"/>
  <c r="M127" i="5"/>
  <c r="K128" i="5"/>
  <c r="L128" i="5"/>
  <c r="M128" i="5"/>
  <c r="K129" i="5"/>
  <c r="L129" i="5"/>
  <c r="M129" i="5"/>
  <c r="K130" i="5"/>
  <c r="L130" i="5"/>
  <c r="M130" i="5"/>
  <c r="K131" i="5"/>
  <c r="L131" i="5"/>
  <c r="M131" i="5"/>
  <c r="K132" i="5"/>
  <c r="L132" i="5"/>
  <c r="M132" i="5"/>
  <c r="K133" i="5"/>
  <c r="L133" i="5"/>
  <c r="M133" i="5"/>
  <c r="K134" i="5"/>
  <c r="L134" i="5"/>
  <c r="M134" i="5"/>
  <c r="K135" i="5"/>
  <c r="L135" i="5"/>
  <c r="M135" i="5"/>
  <c r="K136" i="5"/>
  <c r="L136" i="5"/>
  <c r="M136" i="5"/>
  <c r="K137" i="5"/>
  <c r="L137" i="5"/>
  <c r="M137" i="5"/>
  <c r="K138" i="5"/>
  <c r="L138" i="5"/>
  <c r="M138" i="5"/>
  <c r="K139" i="5"/>
  <c r="L139" i="5"/>
  <c r="M139" i="5"/>
  <c r="K140" i="5"/>
  <c r="L140" i="5"/>
  <c r="M140" i="5"/>
  <c r="K141" i="5"/>
  <c r="L141" i="5"/>
  <c r="M141" i="5"/>
  <c r="K142" i="5"/>
  <c r="L142" i="5"/>
  <c r="M142" i="5"/>
  <c r="K143" i="5"/>
  <c r="L143" i="5"/>
  <c r="M143" i="5"/>
  <c r="K144" i="5"/>
  <c r="L144" i="5"/>
  <c r="M144" i="5"/>
  <c r="K145" i="5"/>
  <c r="L145" i="5"/>
  <c r="M145" i="5"/>
  <c r="K146" i="5"/>
  <c r="L146" i="5"/>
  <c r="M146" i="5"/>
  <c r="K147" i="5"/>
  <c r="L147" i="5"/>
  <c r="M147" i="5"/>
  <c r="K148" i="5"/>
  <c r="L148" i="5"/>
  <c r="M148" i="5"/>
  <c r="K149" i="5"/>
  <c r="L149" i="5"/>
  <c r="M149" i="5"/>
  <c r="K150" i="5"/>
  <c r="L150" i="5"/>
  <c r="M150" i="5"/>
  <c r="K151" i="5"/>
  <c r="L151" i="5"/>
  <c r="M151" i="5"/>
  <c r="K152" i="5"/>
  <c r="L152" i="5"/>
  <c r="M152" i="5"/>
  <c r="K153" i="5"/>
  <c r="L153" i="5"/>
  <c r="M153" i="5"/>
  <c r="K154" i="5"/>
  <c r="L154" i="5"/>
  <c r="M154" i="5"/>
  <c r="K155" i="5"/>
  <c r="L155" i="5"/>
  <c r="M155" i="5"/>
  <c r="K156" i="5"/>
  <c r="L156" i="5"/>
  <c r="M156" i="5"/>
  <c r="K157" i="5"/>
  <c r="L157" i="5"/>
  <c r="M157" i="5"/>
  <c r="K158" i="5"/>
  <c r="L158" i="5"/>
  <c r="M158" i="5"/>
  <c r="K159" i="5"/>
  <c r="L159" i="5"/>
  <c r="M159" i="5"/>
  <c r="K160" i="5"/>
  <c r="L160" i="5"/>
  <c r="M160" i="5"/>
  <c r="K161" i="5"/>
  <c r="L161" i="5"/>
  <c r="M161" i="5"/>
  <c r="K162" i="5"/>
  <c r="L162" i="5"/>
  <c r="M162" i="5"/>
  <c r="K163" i="5"/>
  <c r="L163" i="5"/>
  <c r="M163" i="5"/>
  <c r="K164" i="5"/>
  <c r="L164" i="5"/>
  <c r="M164" i="5"/>
  <c r="K165" i="5"/>
  <c r="L165" i="5"/>
  <c r="M165" i="5"/>
  <c r="K166" i="5"/>
  <c r="L166" i="5"/>
  <c r="M166" i="5"/>
  <c r="K167" i="5"/>
  <c r="L167" i="5"/>
  <c r="M167" i="5"/>
  <c r="K168" i="5"/>
  <c r="L168" i="5"/>
  <c r="M168" i="5"/>
  <c r="K169" i="5"/>
  <c r="L169" i="5"/>
  <c r="M169" i="5"/>
  <c r="K170" i="5"/>
  <c r="L170" i="5"/>
  <c r="M170" i="5"/>
  <c r="K171" i="5"/>
  <c r="L171" i="5"/>
  <c r="M171" i="5"/>
  <c r="K172" i="5"/>
  <c r="L172" i="5"/>
  <c r="M172" i="5"/>
  <c r="K173" i="5"/>
  <c r="L173" i="5"/>
  <c r="M173" i="5"/>
  <c r="K174" i="5"/>
  <c r="L174" i="5"/>
  <c r="M174" i="5"/>
  <c r="K175" i="5"/>
  <c r="L175" i="5"/>
  <c r="M175" i="5"/>
  <c r="K176" i="5"/>
  <c r="L176" i="5"/>
  <c r="M176" i="5"/>
  <c r="K177" i="5"/>
  <c r="L177" i="5"/>
  <c r="M177" i="5"/>
  <c r="K178" i="5"/>
  <c r="L178" i="5"/>
  <c r="M178" i="5"/>
  <c r="K179" i="5"/>
  <c r="L179" i="5"/>
  <c r="M179" i="5"/>
  <c r="K180" i="5"/>
  <c r="L180" i="5"/>
  <c r="M180" i="5"/>
  <c r="K181" i="5"/>
  <c r="L181" i="5"/>
  <c r="M181" i="5"/>
  <c r="K182" i="5"/>
  <c r="L182" i="5"/>
  <c r="M182" i="5"/>
  <c r="K183" i="5"/>
  <c r="L183" i="5"/>
  <c r="M183" i="5"/>
  <c r="K184" i="5"/>
  <c r="L184" i="5"/>
  <c r="M184" i="5"/>
  <c r="K185" i="5"/>
  <c r="L185" i="5"/>
  <c r="M185" i="5"/>
  <c r="K186" i="5"/>
  <c r="L186" i="5"/>
  <c r="M186" i="5"/>
  <c r="K187" i="5"/>
  <c r="L187" i="5"/>
  <c r="M187" i="5"/>
  <c r="K188" i="5"/>
  <c r="L188" i="5"/>
  <c r="M188" i="5"/>
  <c r="K189" i="5"/>
  <c r="L189" i="5"/>
  <c r="M189" i="5"/>
  <c r="K190" i="5"/>
  <c r="L190" i="5"/>
  <c r="M190" i="5"/>
  <c r="K191" i="5"/>
  <c r="L191" i="5"/>
  <c r="M191" i="5"/>
  <c r="K192" i="5"/>
  <c r="L192" i="5"/>
  <c r="M192" i="5"/>
  <c r="K193" i="5"/>
  <c r="L193" i="5"/>
  <c r="M193" i="5"/>
  <c r="K194" i="5"/>
  <c r="L194" i="5"/>
  <c r="M194" i="5"/>
  <c r="K195" i="5"/>
  <c r="L195" i="5"/>
  <c r="M195" i="5"/>
  <c r="K196" i="5"/>
  <c r="L196" i="5"/>
  <c r="M196" i="5"/>
  <c r="K197" i="5"/>
  <c r="L197" i="5"/>
  <c r="M197" i="5"/>
  <c r="K198" i="5"/>
  <c r="L198" i="5"/>
  <c r="M198" i="5"/>
  <c r="K199" i="5"/>
  <c r="L199" i="5"/>
  <c r="M199" i="5"/>
  <c r="K200" i="5"/>
  <c r="L200" i="5"/>
  <c r="M200" i="5"/>
  <c r="K201" i="5"/>
  <c r="L201" i="5"/>
  <c r="M201" i="5"/>
  <c r="K202" i="5"/>
  <c r="L202" i="5"/>
  <c r="M202" i="5"/>
  <c r="K203" i="5"/>
  <c r="L203" i="5"/>
  <c r="M203" i="5"/>
  <c r="K204" i="5"/>
  <c r="L204" i="5"/>
  <c r="M204" i="5"/>
  <c r="K205" i="5"/>
  <c r="L205" i="5"/>
  <c r="M205" i="5"/>
  <c r="K206" i="5"/>
  <c r="L206" i="5"/>
  <c r="M206" i="5"/>
  <c r="K207" i="5"/>
  <c r="L207" i="5"/>
  <c r="M207" i="5"/>
  <c r="K208" i="5"/>
  <c r="L208" i="5"/>
  <c r="M208" i="5"/>
  <c r="K209" i="5"/>
  <c r="L209" i="5"/>
  <c r="M209" i="5"/>
  <c r="K210" i="5"/>
  <c r="L210" i="5"/>
  <c r="M210" i="5"/>
  <c r="K211" i="5"/>
  <c r="L211" i="5"/>
  <c r="M211" i="5"/>
  <c r="K212" i="5"/>
  <c r="L212" i="5"/>
  <c r="M212" i="5"/>
  <c r="K213" i="5"/>
  <c r="L213" i="5"/>
  <c r="M213" i="5"/>
  <c r="K214" i="5"/>
  <c r="L214" i="5"/>
  <c r="M214" i="5"/>
  <c r="L2" i="5"/>
  <c r="M2" i="5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2" i="2"/>
  <c r="J3" i="5"/>
  <c r="Q3" i="5" s="1"/>
  <c r="R3" i="5" s="1"/>
  <c r="J4" i="5"/>
  <c r="Q4" i="5" s="1"/>
  <c r="R4" i="5" s="1"/>
  <c r="J5" i="5"/>
  <c r="Q5" i="5" s="1"/>
  <c r="R5" i="5" s="1"/>
  <c r="J6" i="5"/>
  <c r="Q6" i="5" s="1"/>
  <c r="R6" i="5" s="1"/>
  <c r="J7" i="5"/>
  <c r="Q7" i="5" s="1"/>
  <c r="R7" i="5" s="1"/>
  <c r="J8" i="5"/>
  <c r="Q8" i="5" s="1"/>
  <c r="R8" i="5" s="1"/>
  <c r="J9" i="5"/>
  <c r="Q9" i="5" s="1"/>
  <c r="R9" i="5" s="1"/>
  <c r="J10" i="5"/>
  <c r="Q10" i="5" s="1"/>
  <c r="R10" i="5" s="1"/>
  <c r="J11" i="5"/>
  <c r="Q11" i="5" s="1"/>
  <c r="R11" i="5" s="1"/>
  <c r="J12" i="5"/>
  <c r="Q12" i="5" s="1"/>
  <c r="R12" i="5" s="1"/>
  <c r="J13" i="5"/>
  <c r="Q13" i="5" s="1"/>
  <c r="R13" i="5" s="1"/>
  <c r="J14" i="5"/>
  <c r="Q14" i="5" s="1"/>
  <c r="R14" i="5" s="1"/>
  <c r="J15" i="5"/>
  <c r="Q15" i="5" s="1"/>
  <c r="R15" i="5" s="1"/>
  <c r="J16" i="5"/>
  <c r="Q16" i="5" s="1"/>
  <c r="R16" i="5" s="1"/>
  <c r="J17" i="5"/>
  <c r="Q17" i="5" s="1"/>
  <c r="R17" i="5" s="1"/>
  <c r="J18" i="5"/>
  <c r="Q18" i="5" s="1"/>
  <c r="R18" i="5" s="1"/>
  <c r="J19" i="5"/>
  <c r="Q19" i="5" s="1"/>
  <c r="R19" i="5" s="1"/>
  <c r="J20" i="5"/>
  <c r="Q20" i="5" s="1"/>
  <c r="R20" i="5" s="1"/>
  <c r="J21" i="5"/>
  <c r="Q21" i="5" s="1"/>
  <c r="R21" i="5" s="1"/>
  <c r="J22" i="5"/>
  <c r="Q22" i="5" s="1"/>
  <c r="R22" i="5" s="1"/>
  <c r="J23" i="5"/>
  <c r="Q23" i="5" s="1"/>
  <c r="J24" i="5"/>
  <c r="Q24" i="5" s="1"/>
  <c r="J25" i="5"/>
  <c r="J26" i="5"/>
  <c r="J27" i="5"/>
  <c r="J28" i="5"/>
  <c r="Q28" i="5" s="1"/>
  <c r="J29" i="5"/>
  <c r="Q29" i="5" s="1"/>
  <c r="J30" i="5"/>
  <c r="Q30" i="5" s="1"/>
  <c r="J31" i="5"/>
  <c r="Q31" i="5" s="1"/>
  <c r="J32" i="5"/>
  <c r="Q32" i="5" s="1"/>
  <c r="J33" i="5"/>
  <c r="Q33" i="5" s="1"/>
  <c r="J34" i="5"/>
  <c r="Q34" i="5" s="1"/>
  <c r="J35" i="5"/>
  <c r="Q35" i="5" s="1"/>
  <c r="J36" i="5"/>
  <c r="Q36" i="5" s="1"/>
  <c r="J37" i="5"/>
  <c r="J38" i="5"/>
  <c r="Q38" i="5" s="1"/>
  <c r="J39" i="5"/>
  <c r="Q39" i="5" s="1"/>
  <c r="J40" i="5"/>
  <c r="Q40" i="5" s="1"/>
  <c r="J41" i="5"/>
  <c r="Q41" i="5" s="1"/>
  <c r="J42" i="5"/>
  <c r="Q42" i="5" s="1"/>
  <c r="J43" i="5"/>
  <c r="Q43" i="5" s="1"/>
  <c r="J44" i="5"/>
  <c r="Q44" i="5" s="1"/>
  <c r="J45" i="5"/>
  <c r="Q45" i="5" s="1"/>
  <c r="J46" i="5"/>
  <c r="Q46" i="5" s="1"/>
  <c r="J47" i="5"/>
  <c r="Q47" i="5" s="1"/>
  <c r="J48" i="5"/>
  <c r="Q48" i="5" s="1"/>
  <c r="J49" i="5"/>
  <c r="Q49" i="5" s="1"/>
  <c r="J50" i="5"/>
  <c r="Q50" i="5" s="1"/>
  <c r="J51" i="5"/>
  <c r="Q51" i="5" s="1"/>
  <c r="J52" i="5"/>
  <c r="Q52" i="5" s="1"/>
  <c r="J53" i="5"/>
  <c r="Q53" i="5" s="1"/>
  <c r="J54" i="5"/>
  <c r="Q54" i="5" s="1"/>
  <c r="J55" i="5"/>
  <c r="Q55" i="5" s="1"/>
  <c r="J56" i="5"/>
  <c r="Q56" i="5" s="1"/>
  <c r="J57" i="5"/>
  <c r="J58" i="5"/>
  <c r="J59" i="5"/>
  <c r="J60" i="5"/>
  <c r="J61" i="5"/>
  <c r="J62" i="5"/>
  <c r="J63" i="5"/>
  <c r="J64" i="5"/>
  <c r="J65" i="5"/>
  <c r="J66" i="5"/>
  <c r="J67" i="5"/>
  <c r="J68" i="5"/>
  <c r="P68" i="5" s="1"/>
  <c r="J69" i="5"/>
  <c r="P69" i="5" s="1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J99" i="5"/>
  <c r="J100" i="5"/>
  <c r="J101" i="5"/>
  <c r="J102" i="5"/>
  <c r="J103" i="5"/>
  <c r="J104" i="5"/>
  <c r="J105" i="5"/>
  <c r="J106" i="5"/>
  <c r="J107" i="5"/>
  <c r="J108" i="5"/>
  <c r="J109" i="5"/>
  <c r="J110" i="5"/>
  <c r="J111" i="5"/>
  <c r="J112" i="5"/>
  <c r="J113" i="5"/>
  <c r="J114" i="5"/>
  <c r="J115" i="5"/>
  <c r="J116" i="5"/>
  <c r="J117" i="5"/>
  <c r="J118" i="5"/>
  <c r="J119" i="5"/>
  <c r="Q119" i="5" s="1"/>
  <c r="J120" i="5"/>
  <c r="Q120" i="5" s="1"/>
  <c r="J121" i="5"/>
  <c r="Q121" i="5" s="1"/>
  <c r="J122" i="5"/>
  <c r="Q122" i="5" s="1"/>
  <c r="J123" i="5"/>
  <c r="Q123" i="5" s="1"/>
  <c r="J124" i="5"/>
  <c r="Q124" i="5" s="1"/>
  <c r="J125" i="5"/>
  <c r="J126" i="5"/>
  <c r="J127" i="5"/>
  <c r="J128" i="5"/>
  <c r="J129" i="5"/>
  <c r="J130" i="5"/>
  <c r="J131" i="5"/>
  <c r="J132" i="5"/>
  <c r="J133" i="5"/>
  <c r="J134" i="5"/>
  <c r="J135" i="5"/>
  <c r="J136" i="5"/>
  <c r="J137" i="5"/>
  <c r="J138" i="5"/>
  <c r="J139" i="5"/>
  <c r="J140" i="5"/>
  <c r="J141" i="5"/>
  <c r="J142" i="5"/>
  <c r="J143" i="5"/>
  <c r="J144" i="5"/>
  <c r="J145" i="5"/>
  <c r="J146" i="5"/>
  <c r="J147" i="5"/>
  <c r="J148" i="5"/>
  <c r="J149" i="5"/>
  <c r="J150" i="5"/>
  <c r="J151" i="5"/>
  <c r="J152" i="5"/>
  <c r="J153" i="5"/>
  <c r="J154" i="5"/>
  <c r="J155" i="5"/>
  <c r="J156" i="5"/>
  <c r="J157" i="5"/>
  <c r="J158" i="5"/>
  <c r="J159" i="5"/>
  <c r="J160" i="5"/>
  <c r="J161" i="5"/>
  <c r="J162" i="5"/>
  <c r="J163" i="5"/>
  <c r="J164" i="5"/>
  <c r="J165" i="5"/>
  <c r="J166" i="5"/>
  <c r="J167" i="5"/>
  <c r="J168" i="5"/>
  <c r="J169" i="5"/>
  <c r="J170" i="5"/>
  <c r="J171" i="5"/>
  <c r="J172" i="5"/>
  <c r="J173" i="5"/>
  <c r="J174" i="5"/>
  <c r="J175" i="5"/>
  <c r="J176" i="5"/>
  <c r="J177" i="5"/>
  <c r="J178" i="5"/>
  <c r="J179" i="5"/>
  <c r="J180" i="5"/>
  <c r="J181" i="5"/>
  <c r="J182" i="5"/>
  <c r="J183" i="5"/>
  <c r="J184" i="5"/>
  <c r="J185" i="5"/>
  <c r="J186" i="5"/>
  <c r="J187" i="5"/>
  <c r="J188" i="5"/>
  <c r="J189" i="5"/>
  <c r="J190" i="5"/>
  <c r="J191" i="5"/>
  <c r="J192" i="5"/>
  <c r="J193" i="5"/>
  <c r="J194" i="5"/>
  <c r="J195" i="5"/>
  <c r="J196" i="5"/>
  <c r="J197" i="5"/>
  <c r="J198" i="5"/>
  <c r="J199" i="5"/>
  <c r="J200" i="5"/>
  <c r="J201" i="5"/>
  <c r="J202" i="5"/>
  <c r="J203" i="5"/>
  <c r="J204" i="5"/>
  <c r="J205" i="5"/>
  <c r="J206" i="5"/>
  <c r="J207" i="5"/>
  <c r="J208" i="5"/>
  <c r="J209" i="5"/>
  <c r="J210" i="5"/>
  <c r="J211" i="5"/>
  <c r="J212" i="5"/>
  <c r="J213" i="5"/>
  <c r="J214" i="5"/>
  <c r="J2" i="5"/>
  <c r="O11" i="11" l="1"/>
  <c r="R58" i="5"/>
  <c r="R61" i="5"/>
  <c r="R62" i="5"/>
  <c r="R57" i="5"/>
  <c r="R60" i="5"/>
  <c r="R59" i="5"/>
  <c r="R63" i="5"/>
  <c r="R23" i="5"/>
  <c r="R24" i="5"/>
  <c r="R28" i="5"/>
  <c r="R29" i="5"/>
  <c r="R30" i="5"/>
  <c r="R31" i="5"/>
  <c r="R32" i="5"/>
  <c r="R33" i="5"/>
  <c r="R34" i="5"/>
  <c r="R35" i="5"/>
  <c r="R36" i="5"/>
  <c r="R38" i="5"/>
  <c r="R39" i="5"/>
  <c r="R40" i="5"/>
  <c r="R41" i="5"/>
  <c r="R42" i="5"/>
  <c r="R43" i="5"/>
  <c r="R44" i="5"/>
  <c r="R45" i="5"/>
  <c r="R46" i="5"/>
  <c r="R47" i="5"/>
  <c r="R48" i="5"/>
  <c r="R49" i="5"/>
  <c r="R50" i="5"/>
  <c r="R51" i="5"/>
  <c r="R52" i="5"/>
  <c r="R53" i="5"/>
  <c r="R54" i="5"/>
  <c r="R55" i="5"/>
  <c r="R56" i="5"/>
  <c r="R119" i="5"/>
  <c r="R120" i="5"/>
  <c r="R121" i="5"/>
  <c r="R122" i="5"/>
  <c r="R123" i="5"/>
  <c r="R124" i="5"/>
  <c r="R64" i="5"/>
  <c r="R65" i="5"/>
  <c r="R66" i="5"/>
  <c r="R67" i="5"/>
  <c r="R125" i="5"/>
  <c r="R126" i="5"/>
  <c r="R127" i="5"/>
  <c r="R128" i="5"/>
  <c r="R129" i="5"/>
  <c r="R130" i="5"/>
  <c r="R131" i="5"/>
  <c r="R132" i="5"/>
  <c r="R133" i="5"/>
  <c r="R134" i="5"/>
  <c r="R135" i="5"/>
  <c r="R136" i="5"/>
  <c r="R137" i="5"/>
  <c r="R138" i="5"/>
  <c r="R139" i="5"/>
  <c r="R140" i="5"/>
  <c r="R141" i="5"/>
  <c r="R142" i="5"/>
  <c r="R143" i="5"/>
  <c r="R144" i="5"/>
  <c r="R145" i="5"/>
  <c r="R146" i="5"/>
  <c r="R147" i="5"/>
  <c r="R148" i="5"/>
  <c r="R149" i="5"/>
  <c r="R150" i="5"/>
  <c r="R151" i="5"/>
  <c r="R152" i="5"/>
  <c r="R153" i="5"/>
  <c r="R154" i="5"/>
  <c r="R155" i="5"/>
  <c r="R156" i="5"/>
  <c r="R157" i="5"/>
  <c r="R158" i="5"/>
  <c r="R159" i="5"/>
  <c r="R160" i="5"/>
  <c r="R161" i="5"/>
  <c r="R162" i="5"/>
  <c r="R163" i="5"/>
  <c r="R164" i="5"/>
  <c r="R165" i="5"/>
  <c r="R166" i="5"/>
  <c r="R167" i="5"/>
  <c r="R168" i="5"/>
  <c r="R169" i="5"/>
  <c r="R170" i="5"/>
  <c r="R171" i="5"/>
  <c r="R172" i="5"/>
  <c r="R173" i="5"/>
  <c r="R174" i="5"/>
  <c r="R175" i="5"/>
  <c r="R176" i="5"/>
  <c r="R177" i="5"/>
  <c r="R178" i="5"/>
  <c r="R179" i="5"/>
  <c r="R180" i="5"/>
  <c r="R181" i="5"/>
  <c r="R182" i="5"/>
  <c r="R183" i="5"/>
  <c r="R184" i="5"/>
  <c r="R185" i="5"/>
  <c r="R186" i="5"/>
  <c r="R187" i="5"/>
  <c r="R188" i="5"/>
  <c r="R189" i="5"/>
  <c r="R190" i="5"/>
  <c r="R191" i="5"/>
  <c r="R192" i="5"/>
  <c r="R193" i="5"/>
  <c r="R194" i="5"/>
  <c r="R195" i="5"/>
  <c r="R196" i="5"/>
  <c r="R197" i="5"/>
  <c r="R198" i="5"/>
  <c r="R199" i="5"/>
  <c r="R200" i="5"/>
  <c r="R201" i="5"/>
  <c r="R202" i="5"/>
  <c r="R203" i="5"/>
  <c r="R204" i="5"/>
  <c r="R205" i="5"/>
  <c r="R206" i="5"/>
  <c r="R207" i="5"/>
  <c r="R208" i="5"/>
  <c r="R209" i="5"/>
  <c r="R210" i="5"/>
  <c r="R211" i="5"/>
  <c r="R212" i="5"/>
  <c r="R213" i="5"/>
  <c r="R214" i="5"/>
  <c r="R2" i="5"/>
  <c r="Q25" i="5"/>
  <c r="R25" i="5" s="1"/>
  <c r="Q26" i="5"/>
  <c r="R26" i="5" s="1"/>
  <c r="Q27" i="5"/>
  <c r="R27" i="5" s="1"/>
  <c r="F2" i="1"/>
  <c r="G2" i="1" s="1"/>
  <c r="D14" i="2"/>
  <c r="Q37" i="5"/>
  <c r="R37" i="5" s="1"/>
  <c r="Q70" i="5"/>
  <c r="P70" i="5"/>
  <c r="Q71" i="5"/>
  <c r="P71" i="5"/>
  <c r="Q72" i="5"/>
  <c r="P72" i="5"/>
  <c r="Q73" i="5"/>
  <c r="P73" i="5"/>
  <c r="Q74" i="5"/>
  <c r="P74" i="5"/>
  <c r="Q75" i="5"/>
  <c r="P75" i="5"/>
  <c r="Q76" i="5"/>
  <c r="P76" i="5"/>
  <c r="Q77" i="5"/>
  <c r="P77" i="5"/>
  <c r="Q78" i="5"/>
  <c r="P78" i="5"/>
  <c r="P79" i="5"/>
  <c r="Q79" i="5"/>
  <c r="Q80" i="5"/>
  <c r="P80" i="5"/>
  <c r="Q81" i="5"/>
  <c r="P81" i="5"/>
  <c r="P82" i="5"/>
  <c r="Q82" i="5"/>
  <c r="Q83" i="5"/>
  <c r="P83" i="5"/>
  <c r="Q84" i="5"/>
  <c r="P84" i="5"/>
  <c r="Q85" i="5"/>
  <c r="P85" i="5"/>
  <c r="Q86" i="5"/>
  <c r="P86" i="5"/>
  <c r="Q87" i="5"/>
  <c r="P87" i="5"/>
  <c r="Q88" i="5"/>
  <c r="P88" i="5"/>
  <c r="Q89" i="5"/>
  <c r="P89" i="5"/>
  <c r="P90" i="5"/>
  <c r="Q90" i="5"/>
  <c r="Q91" i="5"/>
  <c r="P91" i="5"/>
  <c r="Q92" i="5"/>
  <c r="P92" i="5"/>
  <c r="Q93" i="5"/>
  <c r="P93" i="5"/>
  <c r="Q94" i="5"/>
  <c r="P94" i="5"/>
  <c r="P95" i="5"/>
  <c r="Q95" i="5"/>
  <c r="P96" i="5"/>
  <c r="Q96" i="5"/>
  <c r="P97" i="5"/>
  <c r="Q97" i="5"/>
  <c r="P98" i="5"/>
  <c r="Q98" i="5"/>
  <c r="Q99" i="5"/>
  <c r="P99" i="5"/>
  <c r="P100" i="5"/>
  <c r="Q100" i="5"/>
  <c r="P101" i="5"/>
  <c r="Q101" i="5"/>
  <c r="Q102" i="5"/>
  <c r="P102" i="5"/>
  <c r="P103" i="5"/>
  <c r="Q103" i="5"/>
  <c r="P104" i="5"/>
  <c r="Q104" i="5"/>
  <c r="P105" i="5"/>
  <c r="Q105" i="5"/>
  <c r="P106" i="5"/>
  <c r="Q106" i="5"/>
  <c r="P107" i="5"/>
  <c r="Q107" i="5"/>
  <c r="P108" i="5"/>
  <c r="Q108" i="5"/>
  <c r="Q109" i="5"/>
  <c r="P109" i="5"/>
  <c r="P110" i="5"/>
  <c r="Q110" i="5"/>
  <c r="Q111" i="5"/>
  <c r="P111" i="5"/>
  <c r="Q112" i="5"/>
  <c r="P112" i="5"/>
  <c r="Q113" i="5"/>
  <c r="P113" i="5"/>
  <c r="Q114" i="5"/>
  <c r="P114" i="5"/>
  <c r="Q115" i="5"/>
  <c r="P115" i="5"/>
  <c r="Q116" i="5"/>
  <c r="P116" i="5"/>
  <c r="Q117" i="5"/>
  <c r="P117" i="5"/>
  <c r="P118" i="5"/>
  <c r="Q118" i="5"/>
  <c r="R68" i="5"/>
  <c r="R69" i="5"/>
  <c r="F3" i="1"/>
  <c r="G3" i="1" s="1"/>
  <c r="F4" i="1"/>
  <c r="G4" i="1" s="1"/>
  <c r="F5" i="1"/>
  <c r="G5" i="1" s="1"/>
  <c r="F6" i="1"/>
  <c r="G6" i="1" s="1"/>
  <c r="F7" i="1"/>
  <c r="G7" i="1" s="1"/>
  <c r="F8" i="1"/>
  <c r="G8" i="1" s="1"/>
  <c r="F9" i="1"/>
  <c r="G9" i="1" s="1"/>
  <c r="F10" i="1"/>
  <c r="G10" i="1" s="1"/>
  <c r="F11" i="1"/>
  <c r="G11" i="1" s="1"/>
  <c r="F12" i="1"/>
  <c r="G12" i="1" s="1"/>
  <c r="F13" i="1"/>
  <c r="G13" i="1" s="1"/>
  <c r="F14" i="1"/>
  <c r="G14" i="1" s="1"/>
  <c r="F15" i="1"/>
  <c r="G15" i="1" s="1"/>
  <c r="F16" i="1"/>
  <c r="G16" i="1" s="1"/>
  <c r="F17" i="1"/>
  <c r="G17" i="1" s="1"/>
  <c r="F18" i="1"/>
  <c r="G18" i="1" s="1"/>
  <c r="F19" i="1"/>
  <c r="G19" i="1" s="1"/>
  <c r="F20" i="1"/>
  <c r="G20" i="1" s="1"/>
  <c r="F21" i="1"/>
  <c r="G21" i="1" s="1"/>
  <c r="D2" i="2"/>
  <c r="D35" i="2"/>
  <c r="D37" i="2"/>
  <c r="D6" i="2"/>
  <c r="D24" i="2"/>
  <c r="D23" i="2"/>
  <c r="D28" i="2"/>
  <c r="D20" i="2"/>
  <c r="D25" i="2"/>
  <c r="D13" i="2"/>
  <c r="D26" i="2"/>
  <c r="D12" i="2"/>
  <c r="D27" i="2"/>
  <c r="D11" i="2"/>
  <c r="D36" i="2"/>
  <c r="D38" i="2"/>
  <c r="D39" i="2"/>
  <c r="D40" i="2"/>
  <c r="D41" i="2"/>
  <c r="D29" i="2"/>
  <c r="D30" i="2"/>
  <c r="D31" i="2"/>
  <c r="D32" i="2"/>
  <c r="D33" i="2"/>
  <c r="D34" i="2"/>
  <c r="D7" i="2"/>
  <c r="D8" i="2"/>
  <c r="D42" i="2"/>
  <c r="D43" i="2"/>
  <c r="D46" i="2"/>
  <c r="D45" i="2"/>
  <c r="D44" i="2"/>
  <c r="D19" i="2"/>
  <c r="D18" i="2"/>
  <c r="D16" i="2"/>
  <c r="D17" i="2"/>
  <c r="D15" i="2"/>
  <c r="D3" i="2"/>
  <c r="D5" i="2"/>
  <c r="D4" i="2"/>
  <c r="D10" i="2"/>
  <c r="D9" i="2"/>
  <c r="D21" i="2"/>
  <c r="D22" i="2"/>
  <c r="R110" i="5" l="1"/>
  <c r="R97" i="5"/>
  <c r="R98" i="5"/>
  <c r="R100" i="5"/>
  <c r="R101" i="5"/>
  <c r="R96" i="5"/>
  <c r="R103" i="5"/>
  <c r="R105" i="5"/>
  <c r="R106" i="5"/>
  <c r="R118" i="5"/>
  <c r="R79" i="5"/>
  <c r="R84" i="5"/>
  <c r="R90" i="5"/>
  <c r="R92" i="5"/>
  <c r="R104" i="5"/>
  <c r="R82" i="5"/>
  <c r="R115" i="5"/>
  <c r="R76" i="5"/>
  <c r="R95" i="5"/>
  <c r="R108" i="5"/>
  <c r="R107" i="5"/>
  <c r="R70" i="5"/>
  <c r="R71" i="5"/>
  <c r="R72" i="5"/>
  <c r="R73" i="5"/>
  <c r="R74" i="5"/>
  <c r="R75" i="5"/>
  <c r="R91" i="5"/>
  <c r="R77" i="5"/>
  <c r="R78" i="5"/>
  <c r="R80" i="5"/>
  <c r="R81" i="5"/>
  <c r="R83" i="5"/>
  <c r="R85" i="5"/>
  <c r="R86" i="5"/>
  <c r="R87" i="5"/>
  <c r="R88" i="5"/>
  <c r="R89" i="5"/>
  <c r="R93" i="5"/>
  <c r="R94" i="5"/>
  <c r="R99" i="5"/>
  <c r="R102" i="5"/>
  <c r="R109" i="5"/>
  <c r="R111" i="5"/>
  <c r="R112" i="5"/>
  <c r="R113" i="5"/>
  <c r="R114" i="5"/>
  <c r="R116" i="5"/>
  <c r="R117" i="5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DF88139-3530-504D-9EA5-F2F64EE4893D}" keepAlive="1" name="Requête - villes_clients" description="Connexion à la requête « villes_clients » dans le classeur." type="5" refreshedVersion="8" background="1" saveData="1">
    <dbPr connection="Provider=Microsoft.Mashup.OleDb.1;Data Source=$Workbook$;Location=villes_clients;Extended Properties=&quot;&quot;" command="SELECT * FROM [villes_clients]"/>
  </connection>
  <connection id="2" xr16:uid="{EEA39ECF-28C8-CF43-88A6-BFE4B62E635C}" keepAlive="1" name="Requête - voitures_declarees" description="Connexion à la requête « voitures_declarees » dans le classeur." type="5" refreshedVersion="8" background="1" saveData="1">
    <dbPr connection="Provider=Microsoft.Mashup.OleDb.1;Data Source=$Workbook$;Location=voitures_declarees;Extended Properties=&quot;&quot;" command="SELECT * FROM [voitures_declarees]"/>
  </connection>
</connection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<sst xmlns="http://schemas.openxmlformats.org/spreadsheetml/2006/main" count="1442" uniqueCount="386">
  <si>
    <t>Matr</t>
  </si>
  <si>
    <t>Nom</t>
  </si>
  <si>
    <t>Date naissance</t>
  </si>
  <si>
    <t>Dernier Bilan</t>
  </si>
  <si>
    <t>Élise Jean</t>
  </si>
  <si>
    <t>Adélaïde Pires-Martineau</t>
  </si>
  <si>
    <t>Arthur Joubert</t>
  </si>
  <si>
    <t>David Dupont</t>
  </si>
  <si>
    <t>Alexandre Guyot</t>
  </si>
  <si>
    <t>Charlotte de la Munoz</t>
  </si>
  <si>
    <t>Daniel Breton</t>
  </si>
  <si>
    <t>Odette Le Gomez</t>
  </si>
  <si>
    <t>Nicolas Bertrand</t>
  </si>
  <si>
    <t>Julie-Margaud Barthelemy</t>
  </si>
  <si>
    <t>Odette Schmitt-Pelletier</t>
  </si>
  <si>
    <t>Denise-Marie Fournier</t>
  </si>
  <si>
    <t>Laurent Chauveau</t>
  </si>
  <si>
    <t>André Le Gall de Legendre</t>
  </si>
  <si>
    <t>Marcel du Marchal</t>
  </si>
  <si>
    <t>Anaïs Sanchez</t>
  </si>
  <si>
    <t>Margaux Hebert du Dupont</t>
  </si>
  <si>
    <t>Éric-Xavier Dias</t>
  </si>
  <si>
    <t>Émilie-Claire Blanchet</t>
  </si>
  <si>
    <t>David Girard</t>
  </si>
  <si>
    <t>Expertise</t>
  </si>
  <si>
    <t>cybersécurité</t>
  </si>
  <si>
    <t>transformation digital</t>
  </si>
  <si>
    <t>systèmes d'information</t>
  </si>
  <si>
    <t>intelligence artificielle</t>
  </si>
  <si>
    <t>gouvernance</t>
  </si>
  <si>
    <t>Type</t>
  </si>
  <si>
    <t>Salaire</t>
  </si>
  <si>
    <t>Forfait</t>
  </si>
  <si>
    <t>Nb Jours Conges</t>
  </si>
  <si>
    <t>Date Debut</t>
  </si>
  <si>
    <t>Date Fin</t>
  </si>
  <si>
    <t>CDD</t>
  </si>
  <si>
    <t>CDI</t>
  </si>
  <si>
    <t>Num Projet</t>
  </si>
  <si>
    <t>Intitulé</t>
  </si>
  <si>
    <t>Domaine</t>
  </si>
  <si>
    <t>Client</t>
  </si>
  <si>
    <t>Date début</t>
  </si>
  <si>
    <t>Durée (mois)</t>
  </si>
  <si>
    <t>Prix km</t>
  </si>
  <si>
    <t>Budget Investissement</t>
  </si>
  <si>
    <t>Budget Fonctionnement</t>
  </si>
  <si>
    <t>Conso Investissement</t>
  </si>
  <si>
    <t>Conso Fonctionnement</t>
  </si>
  <si>
    <t>Orion</t>
  </si>
  <si>
    <t>Industries Nova Tech</t>
  </si>
  <si>
    <t>Hercules</t>
  </si>
  <si>
    <t>Société AHT</t>
  </si>
  <si>
    <t>Infra2</t>
  </si>
  <si>
    <t>Onix</t>
  </si>
  <si>
    <t>Alpha</t>
  </si>
  <si>
    <t>E30</t>
  </si>
  <si>
    <t>Cooperative Muvuca</t>
  </si>
  <si>
    <t>Gamma</t>
  </si>
  <si>
    <t>Arche</t>
  </si>
  <si>
    <t>Banque Invest</t>
  </si>
  <si>
    <t>Destroyer</t>
  </si>
  <si>
    <t>Groupe Oignon</t>
  </si>
  <si>
    <t>Arc25</t>
  </si>
  <si>
    <t>ADV</t>
  </si>
  <si>
    <t>Beta</t>
  </si>
  <si>
    <t>Log2030</t>
  </si>
  <si>
    <t>NextGen</t>
  </si>
  <si>
    <t>Mirage</t>
  </si>
  <si>
    <t>MARCO</t>
  </si>
  <si>
    <t>SuiviConso</t>
  </si>
  <si>
    <t>Date Début</t>
  </si>
  <si>
    <t>Ville</t>
  </si>
  <si>
    <t>Moyen</t>
  </si>
  <si>
    <t>Billet</t>
  </si>
  <si>
    <t>Factures</t>
  </si>
  <si>
    <t>Immatriculation</t>
  </si>
  <si>
    <t>Antibes</t>
  </si>
  <si>
    <t>train</t>
  </si>
  <si>
    <t>Oui</t>
  </si>
  <si>
    <t>Caen</t>
  </si>
  <si>
    <t>Boulogne-Billancourt</t>
  </si>
  <si>
    <t>voiture</t>
  </si>
  <si>
    <t>881-PXG-62</t>
  </si>
  <si>
    <t>Bourges</t>
  </si>
  <si>
    <t>Non</t>
  </si>
  <si>
    <t>542-YQB-50</t>
  </si>
  <si>
    <t>Saint-Quentin</t>
  </si>
  <si>
    <t>588-AHF-83</t>
  </si>
  <si>
    <t>Saint-Étienne</t>
  </si>
  <si>
    <t>765-JSQ-81</t>
  </si>
  <si>
    <t>Montreuil</t>
  </si>
  <si>
    <t>QF-109-TX</t>
  </si>
  <si>
    <t>Pessac</t>
  </si>
  <si>
    <t>QQ-716-IN</t>
  </si>
  <si>
    <t>Lille</t>
  </si>
  <si>
    <t>Aulnay-sous-Bois</t>
  </si>
  <si>
    <t>Maisons-Alfort</t>
  </si>
  <si>
    <t>Amiens</t>
  </si>
  <si>
    <t>Charleville-Mézières</t>
  </si>
  <si>
    <t>Rennes</t>
  </si>
  <si>
    <t>Noisy-le-Grand</t>
  </si>
  <si>
    <t>417-IHX-79</t>
  </si>
  <si>
    <t>Drancy</t>
  </si>
  <si>
    <t>Saint-Nazaire</t>
  </si>
  <si>
    <t>Colombes</t>
  </si>
  <si>
    <t>Aubervilliers</t>
  </si>
  <si>
    <t>TZ-811-YW</t>
  </si>
  <si>
    <t>Montpellier</t>
  </si>
  <si>
    <t>Perpignan</t>
  </si>
  <si>
    <t>Villeneuve-d'Ascq</t>
  </si>
  <si>
    <t>Créteil</t>
  </si>
  <si>
    <t>006-BJC-20</t>
  </si>
  <si>
    <t>Valence</t>
  </si>
  <si>
    <t>575-EXN-41</t>
  </si>
  <si>
    <t>Nantes</t>
  </si>
  <si>
    <t>Tourcoing</t>
  </si>
  <si>
    <t>Rueil-Malmaison</t>
  </si>
  <si>
    <t>Saint-Malo</t>
  </si>
  <si>
    <t>Neuilly-sur-Seine</t>
  </si>
  <si>
    <t>Beauvais</t>
  </si>
  <si>
    <t>Le Havre</t>
  </si>
  <si>
    <t>Roubaix</t>
  </si>
  <si>
    <t>Mérignac</t>
  </si>
  <si>
    <t>Saint-Maur-des-Fossés</t>
  </si>
  <si>
    <t>Pau</t>
  </si>
  <si>
    <t>Antony</t>
  </si>
  <si>
    <t>Champigny-sur-Marne</t>
  </si>
  <si>
    <t>Colmar</t>
  </si>
  <si>
    <t>Nancy</t>
  </si>
  <si>
    <t>Évreux</t>
  </si>
  <si>
    <t>Fontenay-sous-Bois</t>
  </si>
  <si>
    <t>Troyes</t>
  </si>
  <si>
    <t>Nanterre</t>
  </si>
  <si>
    <t>Bordeaux</t>
  </si>
  <si>
    <t>La Rochelle</t>
  </si>
  <si>
    <t>Dijon</t>
  </si>
  <si>
    <t>Vannes</t>
  </si>
  <si>
    <t>Marseille 1er Arrondissement</t>
  </si>
  <si>
    <t>Quimper</t>
  </si>
  <si>
    <t>Béziers</t>
  </si>
  <si>
    <t>Laval</t>
  </si>
  <si>
    <t>Poitiers</t>
  </si>
  <si>
    <t>Chambéry</t>
  </si>
  <si>
    <t>Besançon</t>
  </si>
  <si>
    <t>Montauban</t>
  </si>
  <si>
    <t>Cannes</t>
  </si>
  <si>
    <t>Arles</t>
  </si>
  <si>
    <t>Sarcelles</t>
  </si>
  <si>
    <t>Dunkerque</t>
  </si>
  <si>
    <t>Clermont-Ferrand</t>
  </si>
  <si>
    <t>Strasbourg</t>
  </si>
  <si>
    <t>Mulhouse</t>
  </si>
  <si>
    <t>La Seyne-sur-Mer</t>
  </si>
  <si>
    <t>Cergy</t>
  </si>
  <si>
    <t>Rouen</t>
  </si>
  <si>
    <t>Saint-Denis</t>
  </si>
  <si>
    <t>Ajaccio</t>
  </si>
  <si>
    <t>Brest</t>
  </si>
  <si>
    <t>Aix-en-Provence</t>
  </si>
  <si>
    <t>Issy-les-Moulineaux</t>
  </si>
  <si>
    <t>Toulouse</t>
  </si>
  <si>
    <t>Lorient</t>
  </si>
  <si>
    <t>Calais</t>
  </si>
  <si>
    <t>Nice</t>
  </si>
  <si>
    <t>Vénissieux</t>
  </si>
  <si>
    <t>Angers</t>
  </si>
  <si>
    <t>Courbevoie</t>
  </si>
  <si>
    <t>Belfort</t>
  </si>
  <si>
    <t>Le Mans</t>
  </si>
  <si>
    <t>Avignon</t>
  </si>
  <si>
    <t>Metz</t>
  </si>
  <si>
    <t>Versailles</t>
  </si>
  <si>
    <t>Villeurbanne</t>
  </si>
  <si>
    <t>Asnières-sur-Seine</t>
  </si>
  <si>
    <t>Levallois-Perret</t>
  </si>
  <si>
    <t>Orléans</t>
  </si>
  <si>
    <t>Tours</t>
  </si>
  <si>
    <t>Cholet</t>
  </si>
  <si>
    <t>Nîmes</t>
  </si>
  <si>
    <t>Jour de l'An</t>
  </si>
  <si>
    <t>Lundi de Pâques</t>
  </si>
  <si>
    <t>Fête du Travail</t>
  </si>
  <si>
    <t>Victoire 1945</t>
  </si>
  <si>
    <t>Ascension</t>
  </si>
  <si>
    <t>Pentecôte</t>
  </si>
  <si>
    <t>Fête nationale</t>
  </si>
  <si>
    <t>Assomption</t>
  </si>
  <si>
    <t>Toussaint</t>
  </si>
  <si>
    <t>Armistice 1918</t>
  </si>
  <si>
    <t>Noël</t>
  </si>
  <si>
    <t>Jours Fériés</t>
  </si>
  <si>
    <t>Période</t>
  </si>
  <si>
    <t>Nb Jours Ouvrés</t>
  </si>
  <si>
    <t xml:space="preserve">âge </t>
  </si>
  <si>
    <t>Total général</t>
  </si>
  <si>
    <t>Nbr consultant</t>
  </si>
  <si>
    <t xml:space="preserve">Moyenne âge </t>
  </si>
  <si>
    <t>Domaines</t>
  </si>
  <si>
    <t>% Total</t>
  </si>
  <si>
    <t>contrôle de gestion</t>
  </si>
  <si>
    <t>Clients</t>
  </si>
  <si>
    <t>Nbr Deplacements</t>
  </si>
  <si>
    <t>Total Jours ouvrés</t>
  </si>
  <si>
    <t>Somme Jours Ouvr</t>
  </si>
  <si>
    <t>Prochain Bilan</t>
  </si>
  <si>
    <t>Début contrat actuel</t>
  </si>
  <si>
    <t>Fin contrat actuel</t>
  </si>
  <si>
    <t>Type Contrat</t>
  </si>
  <si>
    <t>code_postal</t>
  </si>
  <si>
    <t>code_dep_insee</t>
  </si>
  <si>
    <t>nom_commune</t>
  </si>
  <si>
    <t>Population</t>
  </si>
  <si>
    <t>distance_paris_km</t>
  </si>
  <si>
    <t>75</t>
  </si>
  <si>
    <t>Paris 1er Arrondissement</t>
  </si>
  <si>
    <t>13</t>
  </si>
  <si>
    <t>69</t>
  </si>
  <si>
    <t>Lyon</t>
  </si>
  <si>
    <t>31</t>
  </si>
  <si>
    <t>06</t>
  </si>
  <si>
    <t>44</t>
  </si>
  <si>
    <t>67</t>
  </si>
  <si>
    <t>34</t>
  </si>
  <si>
    <t>33</t>
  </si>
  <si>
    <t>59</t>
  </si>
  <si>
    <t>35</t>
  </si>
  <si>
    <t>76</t>
  </si>
  <si>
    <t>51</t>
  </si>
  <si>
    <t>Reims</t>
  </si>
  <si>
    <t>42</t>
  </si>
  <si>
    <t>83</t>
  </si>
  <si>
    <t>Toulon</t>
  </si>
  <si>
    <t>38</t>
  </si>
  <si>
    <t>Grenoble</t>
  </si>
  <si>
    <t>49</t>
  </si>
  <si>
    <t>21</t>
  </si>
  <si>
    <t>29</t>
  </si>
  <si>
    <t>72</t>
  </si>
  <si>
    <t>63</t>
  </si>
  <si>
    <t>80</t>
  </si>
  <si>
    <t>87</t>
  </si>
  <si>
    <t>Limoges</t>
  </si>
  <si>
    <t>30</t>
  </si>
  <si>
    <t>37</t>
  </si>
  <si>
    <t>57</t>
  </si>
  <si>
    <t>25</t>
  </si>
  <si>
    <t>14</t>
  </si>
  <si>
    <t>45</t>
  </si>
  <si>
    <t>68</t>
  </si>
  <si>
    <t>92</t>
  </si>
  <si>
    <t>66</t>
  </si>
  <si>
    <t>54</t>
  </si>
  <si>
    <t>95</t>
  </si>
  <si>
    <t>Argenteuil</t>
  </si>
  <si>
    <t>93</t>
  </si>
  <si>
    <t>84</t>
  </si>
  <si>
    <t>78</t>
  </si>
  <si>
    <t>86</t>
  </si>
  <si>
    <t>94</t>
  </si>
  <si>
    <t>Vitry-sur-Seine</t>
  </si>
  <si>
    <t>64</t>
  </si>
  <si>
    <t>62</t>
  </si>
  <si>
    <t>17</t>
  </si>
  <si>
    <t>18</t>
  </si>
  <si>
    <t>26</t>
  </si>
  <si>
    <t>10</t>
  </si>
  <si>
    <t>56</t>
  </si>
  <si>
    <t>02</t>
  </si>
  <si>
    <t>79</t>
  </si>
  <si>
    <t>Niort</t>
  </si>
  <si>
    <t>73</t>
  </si>
  <si>
    <t>08</t>
  </si>
  <si>
    <t>60</t>
  </si>
  <si>
    <t>2A</t>
  </si>
  <si>
    <t>82</t>
  </si>
  <si>
    <t>Hyères</t>
  </si>
  <si>
    <t>27</t>
  </si>
  <si>
    <t>53</t>
  </si>
  <si>
    <t>Ivry-sur-Seine</t>
  </si>
  <si>
    <t>90</t>
  </si>
  <si>
    <t>Distance</t>
  </si>
  <si>
    <t>Coût forfait</t>
  </si>
  <si>
    <t>Coût total</t>
  </si>
  <si>
    <t>Matricule</t>
  </si>
  <si>
    <t>N° Projet</t>
  </si>
  <si>
    <t>Déplacement</t>
  </si>
  <si>
    <t>Factures fournies ?</t>
  </si>
  <si>
    <t>Simulation</t>
  </si>
  <si>
    <t>Frais transport</t>
  </si>
  <si>
    <t>Moyens de transport</t>
  </si>
  <si>
    <t>Billets</t>
  </si>
  <si>
    <t>Dernier contrat</t>
  </si>
  <si>
    <t>Seuil population</t>
  </si>
  <si>
    <t>Nuitée</t>
  </si>
  <si>
    <t>Frais Transport</t>
  </si>
  <si>
    <t>Frais Hébergement</t>
  </si>
  <si>
    <t>alternatives</t>
  </si>
  <si>
    <t>type</t>
  </si>
  <si>
    <t>date fin</t>
  </si>
  <si>
    <t>formules</t>
  </si>
  <si>
    <t>Taux émission co2 g/km</t>
  </si>
  <si>
    <t>Make</t>
  </si>
  <si>
    <t>Model</t>
  </si>
  <si>
    <t>Vehicle Class</t>
  </si>
  <si>
    <t>Engine Size(L)</t>
  </si>
  <si>
    <t>Cylinders</t>
  </si>
  <si>
    <t>Transmission</t>
  </si>
  <si>
    <t>Fuel Consumption Comb (L/100 km)</t>
  </si>
  <si>
    <t>CO2 Emissions</t>
  </si>
  <si>
    <t>immatriculation</t>
  </si>
  <si>
    <t>HYUNDAI</t>
  </si>
  <si>
    <t>TUCSON</t>
  </si>
  <si>
    <t>SUV - SMALL</t>
  </si>
  <si>
    <t>2.0</t>
  </si>
  <si>
    <t>A6</t>
  </si>
  <si>
    <t>214 g/km</t>
  </si>
  <si>
    <t>TZ 811 YW</t>
  </si>
  <si>
    <t>MINI</t>
  </si>
  <si>
    <t>COOPER CLUBMAN</t>
  </si>
  <si>
    <t>SUBCOMPACT</t>
  </si>
  <si>
    <t>1.6</t>
  </si>
  <si>
    <t>179 g/km</t>
  </si>
  <si>
    <t>881 PXG 62</t>
  </si>
  <si>
    <t>TOYOTA</t>
  </si>
  <si>
    <t>PRIUS</t>
  </si>
  <si>
    <t>MID-SIZE</t>
  </si>
  <si>
    <t>1.8</t>
  </si>
  <si>
    <t>AV</t>
  </si>
  <si>
    <t>110 g/km</t>
  </si>
  <si>
    <t>588 AHF 83</t>
  </si>
  <si>
    <t>YARIS</t>
  </si>
  <si>
    <t>COMPACT</t>
  </si>
  <si>
    <t>1.5</t>
  </si>
  <si>
    <t>M5</t>
  </si>
  <si>
    <t>163 g/km</t>
  </si>
  <si>
    <t>QQ 716 IN</t>
  </si>
  <si>
    <t>VOLKSWAGEN</t>
  </si>
  <si>
    <t>BEETLE TDI (modified)</t>
  </si>
  <si>
    <t>200 g/km</t>
  </si>
  <si>
    <t>575 EXN 41</t>
  </si>
  <si>
    <t>TOUAREG</t>
  </si>
  <si>
    <t>SUV - STANDARD</t>
  </si>
  <si>
    <t>3.6</t>
  </si>
  <si>
    <t>AS8</t>
  </si>
  <si>
    <t>296 g/km</t>
  </si>
  <si>
    <t>765 JSQ 81</t>
  </si>
  <si>
    <t>AUDI</t>
  </si>
  <si>
    <t>A6 QUATTRO</t>
  </si>
  <si>
    <t>237 g/km</t>
  </si>
  <si>
    <t>542 YQB 50</t>
  </si>
  <si>
    <t>Q5 HYBRID</t>
  </si>
  <si>
    <t>205 g/km</t>
  </si>
  <si>
    <t>417 IHX 79</t>
  </si>
  <si>
    <t>IONIQ</t>
  </si>
  <si>
    <t>FULL-SIZE</t>
  </si>
  <si>
    <t>AM6</t>
  </si>
  <si>
    <t>103 g/km</t>
  </si>
  <si>
    <t>006 BJC 20</t>
  </si>
  <si>
    <t>Yaris</t>
  </si>
  <si>
    <t>AS6</t>
  </si>
  <si>
    <t>155 g/km</t>
  </si>
  <si>
    <t>QF 109 TX</t>
  </si>
  <si>
    <t>Engine</t>
  </si>
  <si>
    <t>CO2</t>
  </si>
  <si>
    <t>4</t>
  </si>
  <si>
    <t>9.3</t>
  </si>
  <si>
    <t>7.8</t>
  </si>
  <si>
    <t>4.8</t>
  </si>
  <si>
    <t>7.1</t>
  </si>
  <si>
    <t>7.4</t>
  </si>
  <si>
    <t>6</t>
  </si>
  <si>
    <t>12.6</t>
  </si>
  <si>
    <t>10.3</t>
  </si>
  <si>
    <t>8.9</t>
  </si>
  <si>
    <t>4.4</t>
  </si>
  <si>
    <t>6.6</t>
  </si>
  <si>
    <t>Fuel conso</t>
  </si>
  <si>
    <t>Immatriculation2</t>
  </si>
  <si>
    <t>Conso CO2 (en kg)</t>
  </si>
  <si>
    <t>Frais hébergement</t>
  </si>
  <si>
    <t>Nb Jours</t>
  </si>
  <si>
    <t>Somme de Frais Transport</t>
  </si>
  <si>
    <t>Somme de Frais Hébergement</t>
  </si>
  <si>
    <t>Somme de Coût forfait</t>
  </si>
  <si>
    <t>Projets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</si>
</sst>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* #,##0.00_)\ &quot;€&quot;_ ;_ * \(#,##0.00\)\ &quot;€&quot;_ ;_ * &quot;-&quot;??_)\ &quot;€&quot;_ ;_ @_ "/>
    <numFmt numFmtId="164" formatCode="0.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58">
    <xf numFmtId="0" fontId="0" fillId="0" borderId="0" xfId="0"/>
    <xf numFmtId="0" fontId="2" fillId="0" borderId="1" xfId="0" applyFont="1" applyBorder="1" applyAlignment="1">
      <alignment horizontal="center" vertical="top"/>
    </xf>
    <xf numFmtId="14" fontId="2" fillId="0" borderId="1" xfId="0" applyNumberFormat="1" applyFont="1" applyBorder="1" applyAlignment="1">
      <alignment horizontal="center" vertical="top"/>
    </xf>
    <xf numFmtId="14" fontId="0" fillId="0" borderId="0" xfId="0" applyNumberFormat="1"/>
    <xf numFmtId="44" fontId="2" fillId="0" borderId="1" xfId="1" applyFont="1" applyBorder="1" applyAlignment="1">
      <alignment horizontal="center" vertical="top"/>
    </xf>
    <xf numFmtId="44" fontId="0" fillId="0" borderId="0" xfId="1" applyFont="1"/>
    <xf numFmtId="2" fontId="0" fillId="0" borderId="0" xfId="0" applyNumberFormat="1"/>
    <xf numFmtId="0" fontId="2" fillId="0" borderId="3" xfId="0" applyFont="1" applyBorder="1" applyAlignment="1">
      <alignment horizontal="center" vertical="top"/>
    </xf>
    <xf numFmtId="0" fontId="0" fillId="0" borderId="0" xfId="0" pivotButton="1"/>
    <xf numFmtId="0" fontId="0" fillId="0" borderId="0" xfId="0" applyAlignment="1">
      <alignment horizontal="left"/>
    </xf>
    <xf numFmtId="10" fontId="0" fillId="0" borderId="0" xfId="0" applyNumberFormat="1"/>
    <xf numFmtId="1" fontId="0" fillId="0" borderId="0" xfId="0" applyNumberFormat="1"/>
    <xf numFmtId="0" fontId="5" fillId="0" borderId="0" xfId="0" applyFont="1"/>
    <xf numFmtId="0" fontId="0" fillId="0" borderId="1" xfId="0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4" fillId="0" borderId="0" xfId="0" applyFont="1"/>
    <xf numFmtId="14" fontId="0" fillId="0" borderId="1" xfId="0" applyNumberFormat="1" applyBorder="1"/>
    <xf numFmtId="2" fontId="0" fillId="2" borderId="1" xfId="0" applyNumberFormat="1" applyFill="1" applyBorder="1"/>
    <xf numFmtId="44" fontId="0" fillId="2" borderId="0" xfId="1" applyFont="1" applyFill="1"/>
    <xf numFmtId="0" fontId="0" fillId="0" borderId="7" xfId="0" applyBorder="1"/>
    <xf numFmtId="0" fontId="0" fillId="0" borderId="0" xfId="0" applyAlignment="1">
      <alignment horizontal="center"/>
    </xf>
    <xf numFmtId="0" fontId="4" fillId="3" borderId="1" xfId="0" applyFont="1" applyFill="1" applyBorder="1" applyAlignment="1">
      <alignment horizontal="center"/>
    </xf>
    <xf numFmtId="1" fontId="0" fillId="3" borderId="1" xfId="0" applyNumberFormat="1" applyFill="1" applyBorder="1"/>
    <xf numFmtId="44" fontId="0" fillId="3" borderId="1" xfId="1" applyFont="1" applyFill="1" applyBorder="1"/>
    <xf numFmtId="0" fontId="4" fillId="0" borderId="0" xfId="0" applyFont="1" applyAlignment="1">
      <alignment horizontal="center"/>
    </xf>
    <xf numFmtId="44" fontId="0" fillId="0" borderId="0" xfId="1" applyFont="1" applyFill="1" applyBorder="1"/>
    <xf numFmtId="0" fontId="0" fillId="4" borderId="2" xfId="0" applyFill="1" applyBorder="1"/>
    <xf numFmtId="0" fontId="0" fillId="4" borderId="3" xfId="0" applyFill="1" applyBorder="1"/>
    <xf numFmtId="0" fontId="5" fillId="4" borderId="1" xfId="0" applyFont="1" applyFill="1" applyBorder="1"/>
    <xf numFmtId="0" fontId="4" fillId="5" borderId="8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2" fillId="0" borderId="0" xfId="0" applyFont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0" fillId="0" borderId="9" xfId="0" applyBorder="1"/>
    <xf numFmtId="14" fontId="0" fillId="0" borderId="12" xfId="0" applyNumberFormat="1" applyBorder="1"/>
    <xf numFmtId="0" fontId="0" fillId="0" borderId="13" xfId="0" applyBorder="1"/>
    <xf numFmtId="0" fontId="0" fillId="0" borderId="14" xfId="0" applyBorder="1"/>
    <xf numFmtId="14" fontId="0" fillId="0" borderId="15" xfId="0" applyNumberFormat="1" applyBorder="1"/>
    <xf numFmtId="0" fontId="5" fillId="0" borderId="9" xfId="0" applyFont="1" applyBorder="1" applyAlignment="1">
      <alignment horizontal="center"/>
    </xf>
    <xf numFmtId="44" fontId="0" fillId="0" borderId="0" xfId="0" applyNumberFormat="1"/>
    <xf numFmtId="0" fontId="1" fillId="5" borderId="10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164" fontId="0" fillId="0" borderId="0" xfId="0" applyNumberFormat="1"/>
    <xf numFmtId="0" fontId="6" fillId="0" borderId="0" xfId="0" applyFont="1"/>
    <xf numFmtId="49" fontId="0" fillId="0" borderId="0" xfId="0" applyNumberFormat="1"/>
    <xf numFmtId="49" fontId="2" fillId="0" borderId="1" xfId="0" applyNumberFormat="1" applyFont="1" applyBorder="1" applyAlignment="1">
      <alignment horizontal="center" vertical="top"/>
    </xf>
    <xf numFmtId="0" fontId="0" fillId="0" borderId="0" xfId="0" applyNumberFormat="1"/>
    <xf numFmtId="44" fontId="0" fillId="2" borderId="0" xfId="1" applyNumberFormat="1" applyFont="1" applyFill="1"/>
    <xf numFmtId="44" fontId="0" fillId="0" borderId="1" xfId="1" applyFont="1" applyBorder="1"/>
    <xf numFmtId="0" fontId="0" fillId="6" borderId="0" xfId="0" applyFill="1"/>
    <xf numFmtId="0" fontId="0" fillId="6" borderId="0" xfId="0" applyFill="1" applyAlignment="1">
      <alignment horizontal="left"/>
    </xf>
    <xf numFmtId="0" fontId="0" fillId="6" borderId="0" xfId="0" applyNumberFormat="1" applyFill="1"/>
    <xf numFmtId="44" fontId="0" fillId="6" borderId="0" xfId="0" applyNumberFormat="1" applyFill="1"/>
  </cellXfs>
  <cellStyles count="2">
    <cellStyle name="Monétaire" xfId="1" builtinId="4"/>
    <cellStyle name="Normal" xfId="0" builtinId="0"/>
  </cellStyles>
  <dxfs count="51"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numFmt numFmtId="0" formatCode="General"/>
    </dxf>
    <dxf>
      <numFmt numFmtId="0" formatCode="General"/>
    </dxf>
    <dxf>
      <numFmt numFmtId="2" formatCode="0.00"/>
    </dxf>
    <dxf>
      <numFmt numFmtId="1" formatCode="0"/>
    </dxf>
    <dxf>
      <numFmt numFmtId="0" formatCode="General"/>
    </dxf>
    <dxf>
      <numFmt numFmtId="0" formatCode="General"/>
    </dxf>
    <dxf>
      <numFmt numFmtId="0" formatCode="General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164" formatCode="0.0"/>
    </dxf>
    <dxf>
      <numFmt numFmtId="164" formatCode="0.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1/relationships/timelineCache" Target="timelineCaches/timelineCache1.xml"/><Relationship Id="rId2" Type="http://schemas.openxmlformats.org/officeDocument/2006/relationships/worksheet" Target="worksheets/sheet2.xml"/><Relationship Id="rId16" Type="http://schemas.microsoft.com/office/2007/relationships/slicerCache" Target="slicerCaches/slicerCache2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microsoft.com/office/2007/relationships/slicerCache" Target="slicerCaches/slicerCache1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2.xml"/><Relationship Id="rId22" Type="http://schemas.openxmlformats.org/officeDocument/2006/relationships/sheetMetadata" Target="metadata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63500</xdr:colOff>
      <xdr:row>0</xdr:row>
      <xdr:rowOff>12701</xdr:rowOff>
    </xdr:from>
    <xdr:to>
      <xdr:col>17</xdr:col>
      <xdr:colOff>241300</xdr:colOff>
      <xdr:row>9</xdr:row>
      <xdr:rowOff>25400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2" name="Moyen">
              <a:extLst>
                <a:ext uri="{FF2B5EF4-FFF2-40B4-BE49-F238E27FC236}">
                  <a16:creationId xmlns:a16="http://schemas.microsoft.com/office/drawing/2014/main" id="{F1E28387-FC0A-5DBF-BDE1-D3955B7AE88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oyen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364200" y="12701"/>
              <a:ext cx="1828800" cy="172719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/>
  </xdr:twoCellAnchor>
  <xdr:twoCellAnchor editAs="oneCell">
    <xdr:from>
      <xdr:col>12</xdr:col>
      <xdr:colOff>342900</xdr:colOff>
      <xdr:row>0</xdr:row>
      <xdr:rowOff>12701</xdr:rowOff>
    </xdr:from>
    <xdr:to>
      <xdr:col>14</xdr:col>
      <xdr:colOff>520700</xdr:colOff>
      <xdr:row>9</xdr:row>
      <xdr:rowOff>63501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3" name="Domaine">
              <a:extLst>
                <a:ext uri="{FF2B5EF4-FFF2-40B4-BE49-F238E27FC236}">
                  <a16:creationId xmlns:a16="http://schemas.microsoft.com/office/drawing/2014/main" id="{0804CD51-7DA2-02D4-8B4C-56AF2B1151C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omaine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6167100" y="12701"/>
              <a:ext cx="1828800" cy="17653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/>
  </xdr:twoCellAnchor>
  <xdr:twoCellAnchor editAs="oneCell">
    <xdr:from>
      <xdr:col>12</xdr:col>
      <xdr:colOff>381000</xdr:colOff>
      <xdr:row>11</xdr:row>
      <xdr:rowOff>0</xdr:rowOff>
    </xdr:from>
    <xdr:to>
      <xdr:col>17</xdr:col>
      <xdr:colOff>215900</xdr:colOff>
      <xdr:row>17</xdr:row>
      <xdr:rowOff>177800</xdr:rowOff>
    </xdr:to>
    <mc:AlternateContent xmlns:mc="http://schemas.openxmlformats.org/markup-compatibility/2006">
      <mc:Choice xmlns:tsle="http://schemas.microsoft.com/office/drawing/2012/timeslicer" Requires="tsle">
        <xdr:graphicFrame macro="">
          <xdr:nvGraphicFramePr>
            <xdr:cNvPr id="7" name="Date Début 3">
              <a:extLst>
                <a:ext uri="{FF2B5EF4-FFF2-40B4-BE49-F238E27FC236}">
                  <a16:creationId xmlns:a16="http://schemas.microsoft.com/office/drawing/2014/main" id="{1C575257-1E98-4AE0-B81B-3FAB312D096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2/timeslicer">
              <tsle:timeslicer xmlns:tsle="http://schemas.microsoft.com/office/drawing/2012/timeslicer" name="Date Début 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6205200" y="2095500"/>
              <a:ext cx="3962400" cy="13208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Chronologie : fonctionne dans Excel 2013 ou version ultérieure. Ne pas déplacer ou redimensionner.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nuele Kirsch Pinheiro" refreshedDate="46264.897272916663" createdVersion="8" refreshedVersion="8" minRefreshableVersion="3" recordCount="45" xr:uid="{8D3349B5-CA9A-2D4B-BF1B-440F7F52A509}">
  <cacheSource type="worksheet">
    <worksheetSource name="TableauDom"/>
  </cacheSource>
  <cacheFields count="4">
    <cacheField name="Matr" numFmtId="0">
      <sharedItems containsSemiMixedTypes="0" containsString="0" containsNumber="1" containsInteger="1" minValue="1435" maxValue="8988"/>
    </cacheField>
    <cacheField name="Expertise" numFmtId="0">
      <sharedItems count="6">
        <s v="cybersécurité"/>
        <s v="transformation digital"/>
        <s v="systèmes d'information"/>
        <s v="intelligence artificielle"/>
        <s v="gouvernance"/>
        <s v="contrôle de gestion"/>
      </sharedItems>
    </cacheField>
    <cacheField name="âge " numFmtId="0">
      <sharedItems containsSemiMixedTypes="0" containsString="0" containsNumber="1" containsInteger="1" minValue="26" maxValue="54"/>
    </cacheField>
    <cacheField name="Total Jours ouvrés" numFmtId="0">
      <sharedItems containsSemiMixedTypes="0" containsString="0" containsNumber="1" containsInteger="1" minValue="0" maxValue="5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nuele Kirsch Pinheiro" refreshedDate="46265.829883333332" createdVersion="8" refreshedVersion="8" minRefreshableVersion="3" recordCount="213" xr:uid="{0E67BA20-EACE-384C-921F-DAC007A213EF}">
  <cacheSource type="worksheet">
    <worksheetSource name="=PlageDeplacements"/>
  </cacheSource>
  <cacheFields count="19">
    <cacheField name="Matr" numFmtId="0">
      <sharedItems containsSemiMixedTypes="0" containsString="0" containsNumber="1" containsInteger="1" minValue="1435" maxValue="8988"/>
    </cacheField>
    <cacheField name="Num Projet" numFmtId="0">
      <sharedItems containsSemiMixedTypes="0" containsString="0" containsNumber="1" containsInteger="1" minValue="1309" maxValue="9437"/>
    </cacheField>
    <cacheField name="Date Début" numFmtId="14">
      <sharedItems containsSemiMixedTypes="0" containsNonDate="0" containsDate="1" containsString="0" minDate="2026-07-01T00:00:00" maxDate="2027-06-25T00:00:00" count="155">
        <d v="2026-07-01T00:00:00"/>
        <d v="2026-07-02T00:00:00"/>
        <d v="2026-07-04T00:00:00"/>
        <d v="2026-07-05T00:00:00"/>
        <d v="2026-07-06T00:00:00"/>
        <d v="2026-07-09T00:00:00"/>
        <d v="2026-07-11T00:00:00"/>
        <d v="2026-07-14T00:00:00"/>
        <d v="2026-07-15T00:00:00"/>
        <d v="2026-07-16T00:00:00"/>
        <d v="2026-07-17T00:00:00"/>
        <d v="2026-07-19T00:00:00"/>
        <d v="2026-07-20T00:00:00"/>
        <d v="2026-07-21T00:00:00"/>
        <d v="2026-07-22T00:00:00"/>
        <d v="2026-07-23T00:00:00"/>
        <d v="2026-07-26T00:00:00"/>
        <d v="2026-07-27T00:00:00"/>
        <d v="2026-07-28T00:00:00"/>
        <d v="2026-07-31T00:00:00"/>
        <d v="2026-08-02T00:00:00"/>
        <d v="2026-08-03T00:00:00"/>
        <d v="2026-08-05T00:00:00"/>
        <d v="2026-08-09T00:00:00"/>
        <d v="2026-08-14T00:00:00"/>
        <d v="2026-08-15T00:00:00"/>
        <d v="2026-08-17T00:00:00"/>
        <d v="2026-08-18T00:00:00"/>
        <d v="2026-08-19T00:00:00"/>
        <d v="2026-08-22T00:00:00"/>
        <d v="2026-08-23T00:00:00"/>
        <d v="2026-08-24T00:00:00"/>
        <d v="2026-08-26T00:00:00"/>
        <d v="2026-08-29T00:00:00"/>
        <d v="2026-08-30T00:00:00"/>
        <d v="2026-09-01T00:00:00"/>
        <d v="2026-09-02T00:00:00"/>
        <d v="2026-09-08T00:00:00"/>
        <d v="2026-09-10T00:00:00"/>
        <d v="2026-09-12T00:00:00"/>
        <d v="2026-09-13T00:00:00"/>
        <d v="2026-09-14T00:00:00"/>
        <d v="2026-09-17T00:00:00"/>
        <d v="2026-09-18T00:00:00"/>
        <d v="2026-09-19T00:00:00"/>
        <d v="2026-09-20T00:00:00"/>
        <d v="2026-09-21T00:00:00"/>
        <d v="2026-09-22T00:00:00"/>
        <d v="2026-09-23T00:00:00"/>
        <d v="2026-09-25T00:00:00"/>
        <d v="2026-09-26T00:00:00"/>
        <d v="2026-09-27T00:00:00"/>
        <d v="2026-09-28T00:00:00"/>
        <d v="2026-09-29T00:00:00"/>
        <d v="2026-10-01T00:00:00"/>
        <d v="2026-10-02T00:00:00"/>
        <d v="2026-10-05T00:00:00"/>
        <d v="2026-10-06T00:00:00"/>
        <d v="2026-10-07T00:00:00"/>
        <d v="2026-10-08T00:00:00"/>
        <d v="2026-10-11T00:00:00"/>
        <d v="2026-10-13T00:00:00"/>
        <d v="2026-10-14T00:00:00"/>
        <d v="2026-10-17T00:00:00"/>
        <d v="2026-10-18T00:00:00"/>
        <d v="2026-10-20T00:00:00"/>
        <d v="2026-10-23T00:00:00"/>
        <d v="2026-10-24T00:00:00"/>
        <d v="2026-10-25T00:00:00"/>
        <d v="2026-10-27T00:00:00"/>
        <d v="2026-10-29T00:00:00"/>
        <d v="2026-11-01T00:00:00"/>
        <d v="2026-11-03T00:00:00"/>
        <d v="2026-11-04T00:00:00"/>
        <d v="2026-11-05T00:00:00"/>
        <d v="2026-11-06T00:00:00"/>
        <d v="2026-11-08T00:00:00"/>
        <d v="2026-11-09T00:00:00"/>
        <d v="2026-11-10T00:00:00"/>
        <d v="2026-11-11T00:00:00"/>
        <d v="2026-11-15T00:00:00"/>
        <d v="2026-11-19T00:00:00"/>
        <d v="2026-11-20T00:00:00"/>
        <d v="2026-11-23T00:00:00"/>
        <d v="2026-11-24T00:00:00"/>
        <d v="2026-11-25T00:00:00"/>
        <d v="2026-11-26T00:00:00"/>
        <d v="2026-11-28T00:00:00"/>
        <d v="2026-11-29T00:00:00"/>
        <d v="2026-12-03T00:00:00"/>
        <d v="2026-12-10T00:00:00"/>
        <d v="2026-12-11T00:00:00"/>
        <d v="2026-12-13T00:00:00"/>
        <d v="2026-12-14T00:00:00"/>
        <d v="2026-12-15T00:00:00"/>
        <d v="2026-12-17T00:00:00"/>
        <d v="2026-12-18T00:00:00"/>
        <d v="2026-12-19T00:00:00"/>
        <d v="2026-12-22T00:00:00"/>
        <d v="2026-12-23T00:00:00"/>
        <d v="2026-12-24T00:00:00"/>
        <d v="2026-12-29T00:00:00"/>
        <d v="2027-01-04T00:00:00"/>
        <d v="2027-01-05T00:00:00"/>
        <d v="2027-01-08T00:00:00"/>
        <d v="2027-01-11T00:00:00"/>
        <d v="2027-01-12T00:00:00"/>
        <d v="2027-01-13T00:00:00"/>
        <d v="2027-01-17T00:00:00"/>
        <d v="2027-01-19T00:00:00"/>
        <d v="2027-01-24T00:00:00"/>
        <d v="2027-01-27T00:00:00"/>
        <d v="2027-01-28T00:00:00"/>
        <d v="2027-02-01T00:00:00"/>
        <d v="2027-02-02T00:00:00"/>
        <d v="2027-02-03T00:00:00"/>
        <d v="2027-02-04T00:00:00"/>
        <d v="2027-02-06T00:00:00"/>
        <d v="2027-02-07T00:00:00"/>
        <d v="2027-02-08T00:00:00"/>
        <d v="2027-02-12T00:00:00"/>
        <d v="2027-02-13T00:00:00"/>
        <d v="2027-02-15T00:00:00"/>
        <d v="2027-02-16T00:00:00"/>
        <d v="2027-02-18T00:00:00"/>
        <d v="2027-02-19T00:00:00"/>
        <d v="2027-02-20T00:00:00"/>
        <d v="2027-02-22T00:00:00"/>
        <d v="2027-02-23T00:00:00"/>
        <d v="2027-03-03T00:00:00"/>
        <d v="2027-03-07T00:00:00"/>
        <d v="2027-03-09T00:00:00"/>
        <d v="2027-03-11T00:00:00"/>
        <d v="2027-03-12T00:00:00"/>
        <d v="2027-03-16T00:00:00"/>
        <d v="2027-03-23T00:00:00"/>
        <d v="2027-03-25T00:00:00"/>
        <d v="2027-03-28T00:00:00"/>
        <d v="2027-03-29T00:00:00"/>
        <d v="2027-03-30T00:00:00"/>
        <d v="2027-04-06T00:00:00"/>
        <d v="2027-04-08T00:00:00"/>
        <d v="2027-04-09T00:00:00"/>
        <d v="2027-04-12T00:00:00"/>
        <d v="2027-04-17T00:00:00"/>
        <d v="2027-04-19T00:00:00"/>
        <d v="2027-04-20T00:00:00"/>
        <d v="2027-04-21T00:00:00"/>
        <d v="2027-04-23T00:00:00"/>
        <d v="2027-05-10T00:00:00"/>
        <d v="2027-05-15T00:00:00"/>
        <d v="2027-05-20T00:00:00"/>
        <d v="2027-05-27T00:00:00"/>
        <d v="2027-06-19T00:00:00"/>
        <d v="2027-06-24T00:00:00"/>
      </sharedItems>
    </cacheField>
    <cacheField name="Date Fin" numFmtId="14">
      <sharedItems containsSemiMixedTypes="0" containsNonDate="0" containsDate="1" containsString="0" minDate="2026-07-05T00:00:00" maxDate="2027-06-25T00:00:00"/>
    </cacheField>
    <cacheField name="Ville" numFmtId="0">
      <sharedItems/>
    </cacheField>
    <cacheField name="Moyen" numFmtId="0">
      <sharedItems count="2">
        <s v="train"/>
        <s v="voiture"/>
      </sharedItems>
    </cacheField>
    <cacheField name="Billet" numFmtId="44">
      <sharedItems containsString="0" containsBlank="1" containsNumber="1" minValue="81.69" maxValue="341.43"/>
    </cacheField>
    <cacheField name="Factures" numFmtId="0">
      <sharedItems/>
    </cacheField>
    <cacheField name="Immatriculation" numFmtId="49">
      <sharedItems containsBlank="1"/>
    </cacheField>
    <cacheField name="Nb Jours Ouvrés" numFmtId="0">
      <sharedItems containsSemiMixedTypes="0" containsString="0" containsNumber="1" containsInteger="1" minValue="0" maxValue="12"/>
    </cacheField>
    <cacheField name="Intitulé" numFmtId="0">
      <sharedItems count="17">
        <s v="MARCO"/>
        <s v="ADV"/>
        <s v="Orion"/>
        <s v="E30"/>
        <s v="Infra2"/>
        <s v="Mirage"/>
        <s v="Gamma"/>
        <s v="Beta"/>
        <s v="Arche"/>
        <s v="Onix"/>
        <s v="Alpha"/>
        <s v="Arc25"/>
        <s v="Destroyer"/>
        <s v="NextGen"/>
        <s v="Hercules"/>
        <s v="SuiviConso"/>
        <s v="Log2030"/>
      </sharedItems>
    </cacheField>
    <cacheField name="Domaine" numFmtId="0">
      <sharedItems count="5">
        <s v="transformation digital"/>
        <s v="gouvernance"/>
        <s v="cybersécurité"/>
        <s v="systèmes d'information"/>
        <s v="intelligence artificielle"/>
      </sharedItems>
    </cacheField>
    <cacheField name="Client" numFmtId="0">
      <sharedItems count="5">
        <s v="Banque Invest"/>
        <s v="Industries Nova Tech"/>
        <s v="Cooperative Muvuca"/>
        <s v="Société AHT"/>
        <s v="Groupe Oignon"/>
      </sharedItems>
    </cacheField>
    <cacheField name="Distance" numFmtId="2">
      <sharedItems containsSemiMixedTypes="0" containsString="0" containsNumber="1" minValue="10.227525426302542" maxValue="1832.8525093398346"/>
    </cacheField>
    <cacheField name="Frais Transport" numFmtId="44">
      <sharedItems containsSemiMixedTypes="0" containsString="0" containsNumber="1" minValue="79.213044879551504" maxValue="21792.616336050633"/>
    </cacheField>
    <cacheField name="Frais Hébergement" numFmtId="44">
      <sharedItems containsSemiMixedTypes="0" containsString="0" containsNumber="1" containsInteger="1" minValue="0" maxValue="1100"/>
    </cacheField>
    <cacheField name="Coût forfait" numFmtId="44">
      <sharedItems containsSemiMixedTypes="0" containsString="0" containsNumber="1" containsInteger="1" minValue="84" maxValue="2508"/>
    </cacheField>
    <cacheField name="Coût total" numFmtId="44">
      <sharedItems containsSemiMixedTypes="0" containsString="0" containsNumber="1" minValue="213.0325" maxValue="24516.616336050633"/>
    </cacheField>
    <cacheField name="Conso CO2 (en kg)" numFmtId="2">
      <sharedItems containsSemiMixedTypes="0" containsString="0" containsNumber="1" minValue="0.44494280448730361" maxValue="409.17386787851808"/>
    </cacheField>
  </cacheFields>
  <extLst>
    <ext xmlns:x14="http://schemas.microsoft.com/office/spreadsheetml/2009/9/main" uri="{725AE2AE-9491-48be-B2B4-4EB974FC3084}">
      <x14:pivotCacheDefinition pivotCacheId="1069277051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5">
  <r>
    <n v="3137"/>
    <x v="0"/>
    <n v="40"/>
    <n v="0"/>
  </r>
  <r>
    <n v="3542"/>
    <x v="0"/>
    <n v="29"/>
    <n v="0"/>
  </r>
  <r>
    <n v="3542"/>
    <x v="1"/>
    <n v="29"/>
    <n v="0"/>
  </r>
  <r>
    <n v="3542"/>
    <x v="2"/>
    <n v="29"/>
    <n v="12"/>
  </r>
  <r>
    <n v="6423"/>
    <x v="3"/>
    <n v="36"/>
    <n v="10"/>
  </r>
  <r>
    <n v="4751"/>
    <x v="4"/>
    <n v="38"/>
    <n v="20"/>
  </r>
  <r>
    <n v="4751"/>
    <x v="1"/>
    <n v="38"/>
    <n v="17"/>
  </r>
  <r>
    <n v="5959"/>
    <x v="3"/>
    <n v="54"/>
    <n v="0"/>
  </r>
  <r>
    <n v="5959"/>
    <x v="1"/>
    <n v="54"/>
    <n v="10"/>
  </r>
  <r>
    <n v="5959"/>
    <x v="4"/>
    <n v="54"/>
    <n v="57"/>
  </r>
  <r>
    <n v="7954"/>
    <x v="3"/>
    <n v="45"/>
    <n v="0"/>
  </r>
  <r>
    <n v="7954"/>
    <x v="0"/>
    <n v="45"/>
    <n v="15"/>
  </r>
  <r>
    <n v="7954"/>
    <x v="1"/>
    <n v="45"/>
    <n v="5"/>
  </r>
  <r>
    <n v="8810"/>
    <x v="4"/>
    <n v="26"/>
    <n v="58"/>
  </r>
  <r>
    <n v="8810"/>
    <x v="2"/>
    <n v="26"/>
    <n v="0"/>
  </r>
  <r>
    <n v="8810"/>
    <x v="0"/>
    <n v="26"/>
    <n v="8"/>
  </r>
  <r>
    <n v="5211"/>
    <x v="0"/>
    <n v="43"/>
    <n v="27"/>
  </r>
  <r>
    <n v="5211"/>
    <x v="3"/>
    <n v="43"/>
    <n v="3"/>
  </r>
  <r>
    <n v="3582"/>
    <x v="4"/>
    <n v="27"/>
    <n v="19"/>
  </r>
  <r>
    <n v="3582"/>
    <x v="1"/>
    <n v="27"/>
    <n v="1"/>
  </r>
  <r>
    <n v="3582"/>
    <x v="3"/>
    <n v="27"/>
    <n v="0"/>
  </r>
  <r>
    <n v="7063"/>
    <x v="3"/>
    <n v="48"/>
    <n v="0"/>
  </r>
  <r>
    <n v="4733"/>
    <x v="3"/>
    <n v="51"/>
    <n v="0"/>
  </r>
  <r>
    <n v="7175"/>
    <x v="4"/>
    <n v="34"/>
    <n v="30"/>
  </r>
  <r>
    <n v="5607"/>
    <x v="0"/>
    <n v="27"/>
    <n v="8"/>
  </r>
  <r>
    <n v="5607"/>
    <x v="3"/>
    <n v="27"/>
    <n v="6"/>
  </r>
  <r>
    <n v="5607"/>
    <x v="4"/>
    <n v="27"/>
    <n v="44"/>
  </r>
  <r>
    <n v="4641"/>
    <x v="2"/>
    <n v="48"/>
    <n v="14"/>
  </r>
  <r>
    <n v="4641"/>
    <x v="1"/>
    <n v="48"/>
    <n v="6"/>
  </r>
  <r>
    <n v="4641"/>
    <x v="3"/>
    <n v="48"/>
    <n v="6"/>
  </r>
  <r>
    <n v="4744"/>
    <x v="2"/>
    <n v="46"/>
    <n v="12"/>
  </r>
  <r>
    <n v="4744"/>
    <x v="3"/>
    <n v="46"/>
    <n v="6"/>
  </r>
  <r>
    <n v="4744"/>
    <x v="0"/>
    <n v="46"/>
    <n v="12"/>
  </r>
  <r>
    <n v="1435"/>
    <x v="0"/>
    <n v="37"/>
    <n v="9"/>
  </r>
  <r>
    <n v="8195"/>
    <x v="2"/>
    <n v="50"/>
    <n v="13"/>
  </r>
  <r>
    <n v="8195"/>
    <x v="0"/>
    <n v="50"/>
    <n v="4"/>
  </r>
  <r>
    <n v="8195"/>
    <x v="4"/>
    <n v="50"/>
    <n v="37"/>
  </r>
  <r>
    <n v="3772"/>
    <x v="3"/>
    <n v="41"/>
    <n v="0"/>
  </r>
  <r>
    <n v="3772"/>
    <x v="4"/>
    <n v="41"/>
    <n v="27"/>
  </r>
  <r>
    <n v="3772"/>
    <x v="1"/>
    <n v="41"/>
    <n v="11"/>
  </r>
  <r>
    <n v="8988"/>
    <x v="1"/>
    <n v="26"/>
    <n v="0"/>
  </r>
  <r>
    <n v="8988"/>
    <x v="0"/>
    <n v="26"/>
    <n v="14"/>
  </r>
  <r>
    <n v="4359"/>
    <x v="4"/>
    <n v="27"/>
    <n v="32"/>
  </r>
  <r>
    <n v="4359"/>
    <x v="1"/>
    <n v="27"/>
    <n v="10"/>
  </r>
  <r>
    <n v="4359"/>
    <x v="5"/>
    <n v="27"/>
    <n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13">
  <r>
    <n v="3137"/>
    <n v="2764"/>
    <x v="0"/>
    <d v="2026-07-14T00:00:00"/>
    <s v="Antibes"/>
    <x v="0"/>
    <n v="230.69"/>
    <s v="Oui"/>
    <m/>
    <n v="9"/>
    <x v="0"/>
    <x v="0"/>
    <x v="0"/>
    <n v="1383.9078713499114"/>
    <n v="230.69"/>
    <n v="450"/>
    <n v="1764"/>
    <n v="2444.69"/>
    <n v="2.7678157426998227"/>
  </r>
  <r>
    <n v="6423"/>
    <n v="4125"/>
    <x v="1"/>
    <d v="2026-07-11T00:00:00"/>
    <s v="Montpellier"/>
    <x v="0"/>
    <n v="192.11"/>
    <s v="Non"/>
    <m/>
    <n v="7"/>
    <x v="1"/>
    <x v="1"/>
    <x v="1"/>
    <n v="1190.5827092173017"/>
    <n v="192.11"/>
    <n v="700"/>
    <n v="1463"/>
    <n v="2132.0825"/>
    <n v="2.3811654184346036"/>
  </r>
  <r>
    <n v="4744"/>
    <n v="6665"/>
    <x v="1"/>
    <d v="2026-07-05T00:00:00"/>
    <s v="Laval"/>
    <x v="0"/>
    <n v="134.55000000000001"/>
    <s v="Oui"/>
    <m/>
    <n v="2"/>
    <x v="2"/>
    <x v="1"/>
    <x v="1"/>
    <n v="492.25514367701084"/>
    <n v="134.55000000000001"/>
    <n v="100"/>
    <n v="254"/>
    <n v="488.55"/>
    <n v="0.98451028735402168"/>
  </r>
  <r>
    <n v="4751"/>
    <n v="9437"/>
    <x v="2"/>
    <d v="2026-07-15T00:00:00"/>
    <s v="Bourges"/>
    <x v="0"/>
    <n v="307.37"/>
    <s v="Non"/>
    <m/>
    <n v="7"/>
    <x v="3"/>
    <x v="1"/>
    <x v="2"/>
    <n v="397.6709091109758"/>
    <n v="307.37"/>
    <n v="350"/>
    <n v="1022"/>
    <n v="1515.0275000000001"/>
    <n v="0.7953418182219516"/>
  </r>
  <r>
    <n v="4733"/>
    <n v="9437"/>
    <x v="3"/>
    <d v="2026-07-05T00:00:00"/>
    <s v="Boulogne-Billancourt"/>
    <x v="1"/>
    <m/>
    <s v="Oui"/>
    <s v="588-AHF-83"/>
    <n v="0"/>
    <x v="3"/>
    <x v="1"/>
    <x v="2"/>
    <n v="15.392820720650741"/>
    <n v="106.67224759410963"/>
    <n v="0"/>
    <n v="194"/>
    <n v="300.67224759410965"/>
    <n v="1.6932102792715815"/>
  </r>
  <r>
    <n v="8988"/>
    <n v="4125"/>
    <x v="3"/>
    <d v="2026-07-10T00:00:00"/>
    <s v="Fontenay-sous-Bois"/>
    <x v="1"/>
    <m/>
    <s v="Oui"/>
    <s v="575-EXN-41"/>
    <n v="5"/>
    <x v="1"/>
    <x v="1"/>
    <x v="1"/>
    <n v="20.365399926691858"/>
    <n v="164.34877740840329"/>
    <n v="250"/>
    <n v="990"/>
    <n v="1404.3487774084033"/>
    <n v="4.0730799853383717"/>
  </r>
  <r>
    <n v="4359"/>
    <n v="6665"/>
    <x v="4"/>
    <d v="2026-07-21T00:00:00"/>
    <s v="Boulogne-Billancourt"/>
    <x v="1"/>
    <m/>
    <s v="Non"/>
    <s v="TZ-811-YW"/>
    <n v="11"/>
    <x v="2"/>
    <x v="1"/>
    <x v="1"/>
    <n v="15.392820720650741"/>
    <n v="183.02063836853733"/>
    <n v="825"/>
    <n v="1122"/>
    <n v="1878.0154787764031"/>
    <n v="3.2940636342192589"/>
  </r>
  <r>
    <n v="4733"/>
    <n v="9437"/>
    <x v="5"/>
    <d v="2026-07-23T00:00:00"/>
    <s v="Poitiers"/>
    <x v="0"/>
    <n v="257.33"/>
    <s v="Oui"/>
    <m/>
    <n v="10"/>
    <x v="3"/>
    <x v="1"/>
    <x v="2"/>
    <n v="587.06204843006071"/>
    <n v="257.33"/>
    <n v="750"/>
    <n v="1940"/>
    <n v="2947.33"/>
    <n v="1.1741240968601214"/>
  </r>
  <r>
    <n v="5211"/>
    <n v="2764"/>
    <x v="6"/>
    <d v="2026-07-22T00:00:00"/>
    <s v="Strasbourg"/>
    <x v="0"/>
    <n v="87.68"/>
    <s v="Oui"/>
    <m/>
    <n v="7"/>
    <x v="0"/>
    <x v="0"/>
    <x v="0"/>
    <n v="801.77005840342895"/>
    <n v="87.68"/>
    <n v="700"/>
    <n v="1239"/>
    <n v="2026.68"/>
    <n v="1.6035401168068579"/>
  </r>
  <r>
    <n v="6423"/>
    <n v="7371"/>
    <x v="7"/>
    <d v="2026-07-22T00:00:00"/>
    <s v="Perpignan"/>
    <x v="0"/>
    <n v="87.8"/>
    <s v="Oui"/>
    <m/>
    <n v="6"/>
    <x v="4"/>
    <x v="2"/>
    <x v="3"/>
    <n v="1373.4564493751479"/>
    <n v="87.8"/>
    <n v="450"/>
    <n v="1254"/>
    <n v="1791.8"/>
    <n v="2.746912898750296"/>
  </r>
  <r>
    <n v="8810"/>
    <n v="6665"/>
    <x v="8"/>
    <d v="2026-07-27T00:00:00"/>
    <s v="Montauban"/>
    <x v="0"/>
    <n v="207.12"/>
    <s v="Oui"/>
    <m/>
    <n v="9"/>
    <x v="2"/>
    <x v="1"/>
    <x v="1"/>
    <n v="1086.407564975822"/>
    <n v="207.12"/>
    <n v="450"/>
    <n v="1683"/>
    <n v="2340.12"/>
    <n v="2.1728151299516441"/>
  </r>
  <r>
    <n v="7063"/>
    <n v="4687"/>
    <x v="9"/>
    <d v="2026-07-24T00:00:00"/>
    <s v="Nice"/>
    <x v="0"/>
    <n v="96.37"/>
    <s v="Non"/>
    <m/>
    <n v="7"/>
    <x v="5"/>
    <x v="2"/>
    <x v="0"/>
    <n v="1371.1717374786563"/>
    <n v="96.37"/>
    <n v="1050"/>
    <n v="994"/>
    <n v="1853.7774999999999"/>
    <n v="2.7423434749573126"/>
  </r>
  <r>
    <n v="3542"/>
    <n v="3987"/>
    <x v="10"/>
    <d v="2026-07-31T00:00:00"/>
    <s v="Rennes"/>
    <x v="1"/>
    <m/>
    <s v="Non"/>
    <s v="QF-109-TX"/>
    <n v="11"/>
    <x v="6"/>
    <x v="1"/>
    <x v="2"/>
    <n v="616.97040295737861"/>
    <n v="6064.8190610710317"/>
    <n v="1100"/>
    <n v="1617"/>
    <n v="6990.6142958032742"/>
    <n v="95.630412458393678"/>
  </r>
  <r>
    <n v="3137"/>
    <n v="3987"/>
    <x v="11"/>
    <d v="2026-08-02T00:00:00"/>
    <s v="Caen"/>
    <x v="0"/>
    <n v="83.7"/>
    <s v="Oui"/>
    <m/>
    <n v="10"/>
    <x v="6"/>
    <x v="1"/>
    <x v="2"/>
    <n v="402.24192193177629"/>
    <n v="83.7"/>
    <n v="750"/>
    <n v="1960"/>
    <n v="2793.7"/>
    <n v="0.80448384386355254"/>
  </r>
  <r>
    <n v="7954"/>
    <n v="8140"/>
    <x v="11"/>
    <d v="2026-07-23T00:00:00"/>
    <s v="Montreuil"/>
    <x v="1"/>
    <m/>
    <s v="Non"/>
    <s v="575-EXN-41"/>
    <n v="4"/>
    <x v="7"/>
    <x v="3"/>
    <x v="3"/>
    <n v="16.416834937395087"/>
    <n v="129.0363226079254"/>
    <n v="300"/>
    <n v="460"/>
    <n v="781.77724195594408"/>
    <n v="3.2833669874790177"/>
  </r>
  <r>
    <n v="3772"/>
    <n v="2764"/>
    <x v="11"/>
    <d v="2026-08-03T00:00:00"/>
    <s v="Amiens"/>
    <x v="1"/>
    <m/>
    <s v="Non"/>
    <s v="881-PXG-62"/>
    <n v="11"/>
    <x v="0"/>
    <x v="0"/>
    <x v="0"/>
    <n v="231.0560317820871"/>
    <n v="1624.3239034280723"/>
    <n v="825"/>
    <n v="2255"/>
    <n v="4091.9929275710542"/>
    <n v="41.359029688993594"/>
  </r>
  <r>
    <n v="5607"/>
    <n v="4641"/>
    <x v="12"/>
    <d v="2026-07-23T00:00:00"/>
    <s v="Laval"/>
    <x v="0"/>
    <n v="261.89999999999998"/>
    <s v="Non"/>
    <m/>
    <n v="4"/>
    <x v="8"/>
    <x v="3"/>
    <x v="0"/>
    <n v="492.25514367701084"/>
    <n v="261.89999999999998"/>
    <n v="200"/>
    <n v="416"/>
    <n v="762.42499999999995"/>
    <n v="0.98451028735402168"/>
  </r>
  <r>
    <n v="4751"/>
    <n v="9018"/>
    <x v="13"/>
    <d v="2026-07-29T00:00:00"/>
    <s v="Le Havre"/>
    <x v="0"/>
    <n v="330.93"/>
    <s v="Non"/>
    <m/>
    <n v="7"/>
    <x v="9"/>
    <x v="3"/>
    <x v="3"/>
    <n v="350.04851397456957"/>
    <n v="330.93"/>
    <n v="700"/>
    <n v="1022"/>
    <n v="1795.1975"/>
    <n v="0.70009702794913919"/>
  </r>
  <r>
    <n v="4641"/>
    <n v="7371"/>
    <x v="13"/>
    <d v="2026-08-02T00:00:00"/>
    <s v="Angers"/>
    <x v="0"/>
    <n v="127.34"/>
    <s v="Non"/>
    <m/>
    <n v="9"/>
    <x v="4"/>
    <x v="2"/>
    <x v="3"/>
    <n v="529.19819952002911"/>
    <n v="127.34"/>
    <n v="900"/>
    <n v="1233"/>
    <n v="2003.5049999999999"/>
    <n v="1.0583963990400582"/>
  </r>
  <r>
    <n v="3582"/>
    <n v="7717"/>
    <x v="14"/>
    <d v="2026-07-25T00:00:00"/>
    <s v="Issy-les-Moulineaux"/>
    <x v="1"/>
    <m/>
    <s v="Oui"/>
    <s v="575-EXN-41"/>
    <n v="3"/>
    <x v="10"/>
    <x v="1"/>
    <x v="1"/>
    <n v="13.672243297167526"/>
    <n v="115.12028856215056"/>
    <n v="150"/>
    <n v="252"/>
    <n v="517.12028856215056"/>
    <n v="2.7344486594335051"/>
  </r>
  <r>
    <n v="1435"/>
    <n v="4641"/>
    <x v="15"/>
    <d v="2026-07-27T00:00:00"/>
    <s v="Roubaix"/>
    <x v="1"/>
    <m/>
    <s v="Oui"/>
    <s v="417-IHX-79"/>
    <n v="3"/>
    <x v="8"/>
    <x v="3"/>
    <x v="0"/>
    <n v="423.94716370353035"/>
    <n v="4866.9134393165286"/>
    <n v="225"/>
    <n v="321"/>
    <n v="5412.9134393165286"/>
    <n v="86.909168559223716"/>
  </r>
  <r>
    <n v="5959"/>
    <n v="3987"/>
    <x v="16"/>
    <d v="2026-08-01T00:00:00"/>
    <s v="Rueil-Malmaison"/>
    <x v="1"/>
    <m/>
    <s v="Oui"/>
    <s v="QQ-716-IN"/>
    <n v="5"/>
    <x v="6"/>
    <x v="1"/>
    <x v="2"/>
    <n v="23.369681001270123"/>
    <n v="229.72396424248532"/>
    <n v="250"/>
    <n v="990"/>
    <n v="1469.7239642424852"/>
    <n v="3.80925800320703"/>
  </r>
  <r>
    <n v="7175"/>
    <n v="9437"/>
    <x v="17"/>
    <d v="2026-08-10T00:00:00"/>
    <s v="Calais"/>
    <x v="1"/>
    <m/>
    <s v="Non"/>
    <s v="417-IHX-79"/>
    <n v="11"/>
    <x v="3"/>
    <x v="1"/>
    <x v="2"/>
    <n v="469.07794383041016"/>
    <n v="3250.7101507447424"/>
    <n v="825"/>
    <n v="1452"/>
    <n v="4508.7826130585563"/>
    <n v="96.160978485234082"/>
  </r>
  <r>
    <n v="8195"/>
    <n v="8140"/>
    <x v="18"/>
    <d v="2026-08-12T00:00:00"/>
    <s v="Amiens"/>
    <x v="0"/>
    <n v="330.24"/>
    <s v="Oui"/>
    <m/>
    <n v="12"/>
    <x v="7"/>
    <x v="3"/>
    <x v="3"/>
    <n v="231.0560317820871"/>
    <n v="330.24"/>
    <n v="900"/>
    <n v="1524"/>
    <n v="2754.24"/>
    <n v="0.46211206356417422"/>
  </r>
  <r>
    <n v="4744"/>
    <n v="4687"/>
    <x v="19"/>
    <d v="2026-08-03T00:00:00"/>
    <s v="Mérignac"/>
    <x v="1"/>
    <m/>
    <s v="Oui"/>
    <s v="881-PXG-62"/>
    <n v="2"/>
    <x v="5"/>
    <x v="2"/>
    <x v="0"/>
    <n v="1007.2300393951127"/>
    <n v="8541.3107340705556"/>
    <n v="100"/>
    <n v="254"/>
    <n v="8895.3107340705556"/>
    <n v="180.2941770517252"/>
  </r>
  <r>
    <n v="8988"/>
    <n v="3987"/>
    <x v="20"/>
    <d v="2026-08-06T00:00:00"/>
    <s v="Lille"/>
    <x v="1"/>
    <m/>
    <s v="Non"/>
    <s v="588-AHF-83"/>
    <n v="4"/>
    <x v="6"/>
    <x v="1"/>
    <x v="2"/>
    <n v="406.67072652136744"/>
    <n v="3997.5732417050422"/>
    <n v="400"/>
    <n v="792"/>
    <n v="4090.1799312787816"/>
    <n v="44.733779917350418"/>
  </r>
  <r>
    <n v="3137"/>
    <n v="9437"/>
    <x v="21"/>
    <d v="2026-08-07T00:00:00"/>
    <s v="Antibes"/>
    <x v="0"/>
    <n v="191.39"/>
    <s v="Oui"/>
    <m/>
    <n v="5"/>
    <x v="3"/>
    <x v="1"/>
    <x v="2"/>
    <n v="1383.9078713499114"/>
    <n v="191.39"/>
    <n v="250"/>
    <n v="980"/>
    <n v="1421.3899999999999"/>
    <n v="2.7678157426998227"/>
  </r>
  <r>
    <n v="5211"/>
    <n v="4125"/>
    <x v="21"/>
    <d v="2026-08-18T00:00:00"/>
    <s v="Mulhouse"/>
    <x v="1"/>
    <m/>
    <s v="Oui"/>
    <s v="765-JSQ-81"/>
    <n v="12"/>
    <x v="1"/>
    <x v="1"/>
    <x v="1"/>
    <n v="780.40222970796981"/>
    <n v="6297.8459937433163"/>
    <n v="900"/>
    <n v="2124"/>
    <n v="9321.8459937433163"/>
    <n v="230.99905999355906"/>
  </r>
  <r>
    <n v="6423"/>
    <n v="1309"/>
    <x v="22"/>
    <d v="2026-08-16T00:00:00"/>
    <s v="Villeneuve-d'Ascq"/>
    <x v="1"/>
    <m/>
    <s v="Oui"/>
    <s v="765-JSQ-81"/>
    <n v="8"/>
    <x v="11"/>
    <x v="4"/>
    <x v="0"/>
    <n v="410.92880972718422"/>
    <n v="3723.0150161282891"/>
    <n v="400"/>
    <n v="1672"/>
    <n v="5795.0150161282891"/>
    <n v="121.63492767924653"/>
  </r>
  <r>
    <n v="3542"/>
    <n v="9018"/>
    <x v="23"/>
    <d v="2026-08-10T00:00:00"/>
    <s v="Noisy-le-Grand"/>
    <x v="1"/>
    <m/>
    <s v="Oui"/>
    <s v="417-IHX-79"/>
    <n v="1"/>
    <x v="9"/>
    <x v="3"/>
    <x v="3"/>
    <n v="34.000642244132983"/>
    <n v="215.5640718278031"/>
    <n v="50"/>
    <n v="147"/>
    <n v="412.5640718278031"/>
    <n v="6.9701316600472616"/>
  </r>
  <r>
    <n v="7954"/>
    <n v="4687"/>
    <x v="24"/>
    <d v="2026-08-14T00:00:00"/>
    <s v="Vannes"/>
    <x v="1"/>
    <m/>
    <s v="Non"/>
    <s v="588-AHF-83"/>
    <n v="1"/>
    <x v="5"/>
    <x v="2"/>
    <x v="0"/>
    <n v="802.07383910513863"/>
    <n v="6801.586155611576"/>
    <n v="50"/>
    <n v="115"/>
    <n v="5253.6896167086816"/>
    <n v="88.22812230156525"/>
  </r>
  <r>
    <n v="1435"/>
    <n v="3987"/>
    <x v="24"/>
    <d v="2026-08-29T00:00:00"/>
    <s v="Nancy"/>
    <x v="0"/>
    <n v="97.72"/>
    <s v="Oui"/>
    <m/>
    <n v="11"/>
    <x v="6"/>
    <x v="1"/>
    <x v="2"/>
    <n v="565.65078678258772"/>
    <n v="97.72"/>
    <n v="825"/>
    <n v="1177"/>
    <n v="2099.7200000000003"/>
    <n v="1.1313015735651755"/>
  </r>
  <r>
    <n v="8195"/>
    <n v="2776"/>
    <x v="24"/>
    <d v="2026-08-22T00:00:00"/>
    <s v="Strasbourg"/>
    <x v="0"/>
    <n v="179.64"/>
    <s v="Oui"/>
    <m/>
    <n v="6"/>
    <x v="12"/>
    <x v="1"/>
    <x v="4"/>
    <n v="801.77005840342895"/>
    <n v="179.64"/>
    <n v="600"/>
    <n v="762"/>
    <n v="1541.6399999999999"/>
    <n v="1.6035401168068579"/>
  </r>
  <r>
    <n v="4733"/>
    <n v="9437"/>
    <x v="25"/>
    <d v="2026-08-21T00:00:00"/>
    <s v="Maisons-Alfort"/>
    <x v="1"/>
    <m/>
    <s v="Non"/>
    <s v="765-JSQ-81"/>
    <n v="5"/>
    <x v="3"/>
    <x v="1"/>
    <x v="2"/>
    <n v="19.500215685582329"/>
    <n v="135.13649470108552"/>
    <n v="250"/>
    <n v="970"/>
    <n v="1258.8523710258141"/>
    <n v="5.7720638429323703"/>
  </r>
  <r>
    <n v="4744"/>
    <n v="3987"/>
    <x v="25"/>
    <d v="2026-08-21T00:00:00"/>
    <s v="Levallois-Perret"/>
    <x v="1"/>
    <m/>
    <s v="Oui"/>
    <s v="588-AHF-83"/>
    <n v="5"/>
    <x v="6"/>
    <x v="1"/>
    <x v="2"/>
    <n v="10.227525426302542"/>
    <n v="100.53657494055399"/>
    <n v="250"/>
    <n v="635"/>
    <n v="985.53657494055392"/>
    <n v="1.1250277968932796"/>
  </r>
  <r>
    <n v="7954"/>
    <n v="3394"/>
    <x v="26"/>
    <d v="2026-08-22T00:00:00"/>
    <s v="Marseille 1er Arrondissement"/>
    <x v="1"/>
    <m/>
    <s v="Non"/>
    <s v="575-EXN-41"/>
    <n v="5"/>
    <x v="13"/>
    <x v="0"/>
    <x v="2"/>
    <n v="1323.0721329071532"/>
    <n v="11232.882408381731"/>
    <n v="1000"/>
    <n v="575"/>
    <n v="9749.6618062862981"/>
    <n v="264.61442658143068"/>
  </r>
  <r>
    <n v="5607"/>
    <n v="3850"/>
    <x v="26"/>
    <d v="2026-08-20T00:00:00"/>
    <s v="Lorient"/>
    <x v="0"/>
    <n v="271.47000000000003"/>
    <s v="Oui"/>
    <m/>
    <n v="4"/>
    <x v="14"/>
    <x v="2"/>
    <x v="3"/>
    <n v="882.95296153169909"/>
    <n v="271.47000000000003"/>
    <n v="200"/>
    <n v="416"/>
    <n v="887.47"/>
    <n v="1.7659059230633982"/>
  </r>
  <r>
    <n v="4359"/>
    <n v="9437"/>
    <x v="26"/>
    <d v="2026-08-25T00:00:00"/>
    <s v="Troyes"/>
    <x v="1"/>
    <m/>
    <s v="Oui"/>
    <s v="006-BJC-20"/>
    <n v="7"/>
    <x v="3"/>
    <x v="1"/>
    <x v="2"/>
    <n v="286.21533622591346"/>
    <n v="1983.4722800455802"/>
    <n v="350"/>
    <n v="714"/>
    <n v="3047.4722800455802"/>
    <n v="29.480179631269085"/>
  </r>
  <r>
    <n v="8810"/>
    <n v="3394"/>
    <x v="27"/>
    <d v="2026-08-20T00:00:00"/>
    <s v="Cannes"/>
    <x v="1"/>
    <m/>
    <s v="Oui"/>
    <s v="417-IHX-79"/>
    <n v="3"/>
    <x v="13"/>
    <x v="0"/>
    <x v="2"/>
    <n v="1382.3441482382368"/>
    <n v="11736.101818542631"/>
    <n v="150"/>
    <n v="561"/>
    <n v="12447.101818542631"/>
    <n v="283.38055038883857"/>
  </r>
  <r>
    <n v="8988"/>
    <n v="2776"/>
    <x v="27"/>
    <d v="2026-08-30T00:00:00"/>
    <s v="Cholet"/>
    <x v="1"/>
    <m/>
    <s v="Non"/>
    <s v="542-YQB-50"/>
    <n v="9"/>
    <x v="12"/>
    <x v="1"/>
    <x v="4"/>
    <n v="627.46733360788642"/>
    <n v="6450.3641894890716"/>
    <n v="450"/>
    <n v="1782"/>
    <n v="6957.2731421168037"/>
    <n v="148.70975806506908"/>
  </r>
  <r>
    <n v="7063"/>
    <n v="4687"/>
    <x v="28"/>
    <d v="2026-09-01T00:00:00"/>
    <s v="Pau"/>
    <x v="0"/>
    <n v="309.88"/>
    <s v="Non"/>
    <m/>
    <n v="10"/>
    <x v="5"/>
    <x v="2"/>
    <x v="0"/>
    <n v="1300.1152115931732"/>
    <n v="309.88"/>
    <n v="750"/>
    <n v="1420"/>
    <n v="2214.91"/>
    <n v="2.6002304231863462"/>
  </r>
  <r>
    <n v="3137"/>
    <n v="9018"/>
    <x v="29"/>
    <d v="2026-08-25T00:00:00"/>
    <s v="Boulogne-Billancourt"/>
    <x v="1"/>
    <m/>
    <s v="Oui"/>
    <s v="881-PXG-62"/>
    <n v="2"/>
    <x v="9"/>
    <x v="3"/>
    <x v="3"/>
    <n v="15.392820720650741"/>
    <n v="97.590483368925703"/>
    <n v="150"/>
    <n v="392"/>
    <n v="639.59048336892567"/>
    <n v="2.7553149089964828"/>
  </r>
  <r>
    <n v="3582"/>
    <n v="7717"/>
    <x v="29"/>
    <d v="2026-08-29T00:00:00"/>
    <s v="Cannes"/>
    <x v="0"/>
    <n v="227.45"/>
    <s v="Oui"/>
    <m/>
    <n v="5"/>
    <x v="10"/>
    <x v="1"/>
    <x v="1"/>
    <n v="1382.3441482382368"/>
    <n v="227.45"/>
    <n v="250"/>
    <n v="420"/>
    <n v="897.45"/>
    <n v="2.7646882964764736"/>
  </r>
  <r>
    <n v="4744"/>
    <n v="1309"/>
    <x v="29"/>
    <d v="2026-08-30T00:00:00"/>
    <s v="La Rochelle"/>
    <x v="1"/>
    <m/>
    <s v="Non"/>
    <s v="765-JSQ-81"/>
    <n v="5"/>
    <x v="11"/>
    <x v="4"/>
    <x v="0"/>
    <n v="800.05371112944306"/>
    <n v="7248.4866228327546"/>
    <n v="375"/>
    <n v="635"/>
    <n v="6352.6149671245657"/>
    <n v="236.81589849431515"/>
  </r>
  <r>
    <n v="8195"/>
    <n v="9437"/>
    <x v="30"/>
    <d v="2026-09-05T00:00:00"/>
    <s v="Neuilly-sur-Seine"/>
    <x v="1"/>
    <m/>
    <s v="Oui"/>
    <s v="881-PXG-62"/>
    <n v="10"/>
    <x v="3"/>
    <x v="1"/>
    <x v="2"/>
    <n v="11.430453806573089"/>
    <n v="79.213044879551504"/>
    <n v="500"/>
    <n v="1270"/>
    <n v="1849.2130448795515"/>
    <n v="2.0460512313765831"/>
  </r>
  <r>
    <n v="4641"/>
    <n v="7717"/>
    <x v="31"/>
    <d v="2026-08-26T00:00:00"/>
    <s v="Rouen"/>
    <x v="1"/>
    <m/>
    <s v="Non"/>
    <s v="QF-109-TX"/>
    <n v="3"/>
    <x v="10"/>
    <x v="1"/>
    <x v="1"/>
    <n v="222.4714022436518"/>
    <n v="1873.2092068915481"/>
    <n v="225"/>
    <n v="411"/>
    <n v="1984.6569051686611"/>
    <n v="34.483067347766031"/>
  </r>
  <r>
    <n v="4751"/>
    <n v="3394"/>
    <x v="32"/>
    <d v="2026-09-03T00:00:00"/>
    <s v="Roubaix"/>
    <x v="1"/>
    <m/>
    <s v="Non"/>
    <s v="006-BJC-20"/>
    <n v="7"/>
    <x v="13"/>
    <x v="0"/>
    <x v="2"/>
    <n v="423.94716370353035"/>
    <n v="3599.3114198429726"/>
    <n v="525"/>
    <n v="1022"/>
    <n v="4115.2335648822291"/>
    <n v="43.666557861463623"/>
  </r>
  <r>
    <n v="5211"/>
    <n v="3987"/>
    <x v="32"/>
    <d v="2026-09-04T00:00:00"/>
    <s v="Chambéry"/>
    <x v="0"/>
    <n v="255.84"/>
    <s v="Oui"/>
    <m/>
    <n v="8"/>
    <x v="6"/>
    <x v="1"/>
    <x v="2"/>
    <n v="907.84905035975316"/>
    <n v="255.84"/>
    <n v="400"/>
    <n v="1416"/>
    <n v="2071.84"/>
    <n v="1.8156981007195063"/>
  </r>
  <r>
    <n v="5959"/>
    <n v="6665"/>
    <x v="33"/>
    <d v="2026-09-13T00:00:00"/>
    <s v="Colmar"/>
    <x v="0"/>
    <n v="291.04000000000002"/>
    <s v="Oui"/>
    <m/>
    <n v="10"/>
    <x v="2"/>
    <x v="1"/>
    <x v="1"/>
    <n v="764.75255111810895"/>
    <n v="291.04000000000002"/>
    <n v="500"/>
    <n v="1980"/>
    <n v="2771.04"/>
    <n v="1.5295051022362178"/>
  </r>
  <r>
    <n v="3772"/>
    <n v="9018"/>
    <x v="33"/>
    <d v="2026-09-10T00:00:00"/>
    <s v="Clermont-Ferrand"/>
    <x v="0"/>
    <n v="233.55"/>
    <s v="Oui"/>
    <m/>
    <n v="9"/>
    <x v="9"/>
    <x v="3"/>
    <x v="3"/>
    <n v="694.23863342015648"/>
    <n v="233.55"/>
    <n v="675"/>
    <n v="1845"/>
    <n v="2753.55"/>
    <n v="1.3884772668403129"/>
  </r>
  <r>
    <n v="3542"/>
    <n v="6665"/>
    <x v="34"/>
    <d v="2026-09-01T00:00:00"/>
    <s v="Drancy"/>
    <x v="1"/>
    <m/>
    <s v="Oui"/>
    <s v="QF-109-TX"/>
    <n v="2"/>
    <x v="2"/>
    <x v="1"/>
    <x v="1"/>
    <n v="20.896295688641462"/>
    <n v="248.456955737947"/>
    <n v="100"/>
    <n v="294"/>
    <n v="642.45695573794706"/>
    <n v="3.2389258317394263"/>
  </r>
  <r>
    <n v="8810"/>
    <n v="2776"/>
    <x v="35"/>
    <d v="2026-09-02T00:00:00"/>
    <s v="Arles"/>
    <x v="1"/>
    <m/>
    <s v="Non"/>
    <s v="588-AHF-83"/>
    <n v="2"/>
    <x v="12"/>
    <x v="1"/>
    <x v="4"/>
    <n v="1234.9147731955879"/>
    <n v="12694.923868450644"/>
    <n v="100"/>
    <n v="374"/>
    <n v="9970.1929013379831"/>
    <n v="135.84062505151468"/>
  </r>
  <r>
    <n v="5607"/>
    <n v="3850"/>
    <x v="35"/>
    <d v="2026-09-02T00:00:00"/>
    <s v="Nanterre"/>
    <x v="1"/>
    <m/>
    <s v="Non"/>
    <s v="417-IHX-79"/>
    <n v="2"/>
    <x v="14"/>
    <x v="2"/>
    <x v="3"/>
    <n v="20.412162969195503"/>
    <n v="241.27176629589084"/>
    <n v="150"/>
    <n v="208"/>
    <n v="501.45382472191818"/>
    <n v="4.1844934086850785"/>
  </r>
  <r>
    <n v="4641"/>
    <n v="1309"/>
    <x v="36"/>
    <d v="2026-09-09T00:00:00"/>
    <s v="Pau"/>
    <x v="0"/>
    <n v="185.63"/>
    <s v="Non"/>
    <m/>
    <n v="6"/>
    <x v="11"/>
    <x v="4"/>
    <x v="0"/>
    <n v="1300.1152115931732"/>
    <n v="185.63"/>
    <n v="450"/>
    <n v="822"/>
    <n v="1298.7224999999999"/>
    <n v="2.6002304231863462"/>
  </r>
  <r>
    <n v="7063"/>
    <n v="9018"/>
    <x v="37"/>
    <d v="2026-09-13T00:00:00"/>
    <s v="Charleville-Mézières"/>
    <x v="1"/>
    <m/>
    <s v="Non"/>
    <s v="765-JSQ-81"/>
    <n v="4"/>
    <x v="9"/>
    <x v="3"/>
    <x v="3"/>
    <n v="401.30764654622021"/>
    <n v="2544.290479103036"/>
    <n v="200"/>
    <n v="568"/>
    <n v="2626.217859327277"/>
    <n v="118.78706337768119"/>
  </r>
  <r>
    <n v="7175"/>
    <n v="7717"/>
    <x v="37"/>
    <d v="2026-09-21T00:00:00"/>
    <s v="Belfort"/>
    <x v="1"/>
    <m/>
    <s v="Oui"/>
    <s v="417-IHX-79"/>
    <n v="10"/>
    <x v="10"/>
    <x v="1"/>
    <x v="1"/>
    <n v="722.02003804675257"/>
    <n v="6079.4087203536565"/>
    <n v="500"/>
    <n v="1320"/>
    <n v="7899.4087203536565"/>
    <n v="148.01410779958428"/>
  </r>
  <r>
    <n v="3542"/>
    <n v="4641"/>
    <x v="38"/>
    <d v="2026-09-23T00:00:00"/>
    <s v="Pessac"/>
    <x v="0"/>
    <n v="201.05"/>
    <s v="Oui"/>
    <m/>
    <n v="10"/>
    <x v="8"/>
    <x v="3"/>
    <x v="0"/>
    <n v="1014.985612721831"/>
    <n v="201.05"/>
    <n v="500"/>
    <n v="1470"/>
    <n v="2171.0500000000002"/>
    <n v="2.0299712254436622"/>
  </r>
  <r>
    <n v="6423"/>
    <n v="1309"/>
    <x v="39"/>
    <d v="2026-09-15T00:00:00"/>
    <s v="Bourges"/>
    <x v="0"/>
    <n v="253.59"/>
    <s v="Non"/>
    <m/>
    <n v="2"/>
    <x v="11"/>
    <x v="4"/>
    <x v="0"/>
    <n v="397.6709091109758"/>
    <n v="253.59"/>
    <n v="100"/>
    <n v="418"/>
    <n v="683.1925"/>
    <n v="0.7953418182219516"/>
  </r>
  <r>
    <n v="4359"/>
    <n v="8140"/>
    <x v="39"/>
    <d v="2026-09-22T00:00:00"/>
    <s v="Cannes"/>
    <x v="1"/>
    <m/>
    <s v="Non"/>
    <s v="765-JSQ-81"/>
    <n v="7"/>
    <x v="7"/>
    <x v="3"/>
    <x v="3"/>
    <n v="1382.3441482382368"/>
    <n v="10865.225005152543"/>
    <n v="350"/>
    <n v="714"/>
    <n v="9125.4187538644073"/>
    <n v="409.17386787851808"/>
  </r>
  <r>
    <n v="7954"/>
    <n v="7371"/>
    <x v="40"/>
    <d v="2026-09-26T00:00:00"/>
    <s v="Quimper"/>
    <x v="1"/>
    <m/>
    <s v="Non"/>
    <s v="575-EXN-41"/>
    <n v="10"/>
    <x v="4"/>
    <x v="2"/>
    <x v="3"/>
    <n v="970.26035500521243"/>
    <n v="8742.0457985969642"/>
    <n v="500"/>
    <n v="1150"/>
    <n v="8081.5343489477236"/>
    <n v="194.05207100104249"/>
  </r>
  <r>
    <n v="4733"/>
    <n v="4641"/>
    <x v="41"/>
    <d v="2026-09-23T00:00:00"/>
    <s v="Nancy"/>
    <x v="0"/>
    <n v="221.35"/>
    <s v="Oui"/>
    <m/>
    <n v="8"/>
    <x v="8"/>
    <x v="3"/>
    <x v="0"/>
    <n v="565.65078678258772"/>
    <n v="221.35"/>
    <n v="600"/>
    <n v="1552"/>
    <n v="2373.35"/>
    <n v="1.1313015735651755"/>
  </r>
  <r>
    <n v="8195"/>
    <n v="3987"/>
    <x v="42"/>
    <d v="2026-10-01T00:00:00"/>
    <s v="Drancy"/>
    <x v="1"/>
    <m/>
    <s v="Non"/>
    <s v="588-AHF-83"/>
    <n v="11"/>
    <x v="6"/>
    <x v="1"/>
    <x v="2"/>
    <n v="20.896295688641462"/>
    <n v="205.41058661934557"/>
    <n v="550"/>
    <n v="1397"/>
    <n v="1963.5579399645092"/>
    <n v="2.2985925257505611"/>
  </r>
  <r>
    <n v="3137"/>
    <n v="1309"/>
    <x v="43"/>
    <d v="2026-09-25T00:00:00"/>
    <s v="Bourges"/>
    <x v="1"/>
    <m/>
    <s v="Non"/>
    <s v="542-YQB-50"/>
    <n v="6"/>
    <x v="11"/>
    <x v="4"/>
    <x v="0"/>
    <n v="397.6709091109758"/>
    <n v="3602.8984365454407"/>
    <n v="300"/>
    <n v="1176"/>
    <n v="4103.1738274090803"/>
    <n v="94.248005459301254"/>
  </r>
  <r>
    <n v="5211"/>
    <n v="2776"/>
    <x v="43"/>
    <d v="2026-09-28T00:00:00"/>
    <s v="La Seyne-sur-Mer"/>
    <x v="0"/>
    <n v="92.34"/>
    <s v="Non"/>
    <m/>
    <n v="7"/>
    <x v="12"/>
    <x v="1"/>
    <x v="4"/>
    <n v="1395.3168911564405"/>
    <n v="92.34"/>
    <n v="350"/>
    <n v="1239"/>
    <n v="1570.7550000000001"/>
    <n v="2.7906337823128813"/>
  </r>
  <r>
    <n v="8810"/>
    <n v="7717"/>
    <x v="44"/>
    <d v="2026-09-30T00:00:00"/>
    <s v="Dijon"/>
    <x v="1"/>
    <m/>
    <s v="Non"/>
    <s v="QF-109-TX"/>
    <n v="8"/>
    <x v="10"/>
    <x v="1"/>
    <x v="1"/>
    <n v="528.37078515457438"/>
    <n v="4448.8820110015158"/>
    <n v="800"/>
    <n v="1496"/>
    <n v="5432.6615082511371"/>
    <n v="81.897471698959023"/>
  </r>
  <r>
    <n v="7063"/>
    <n v="4641"/>
    <x v="45"/>
    <d v="2026-10-03T00:00:00"/>
    <s v="Vénissieux"/>
    <x v="1"/>
    <m/>
    <s v="Oui"/>
    <s v="006-BJC-20"/>
    <n v="10"/>
    <x v="8"/>
    <x v="3"/>
    <x v="0"/>
    <n v="800.90408538584848"/>
    <n v="9194.3789002295416"/>
    <n v="500"/>
    <n v="1420"/>
    <n v="11114.378900229542"/>
    <n v="82.493120794742396"/>
  </r>
  <r>
    <n v="5607"/>
    <n v="6665"/>
    <x v="46"/>
    <d v="2026-09-24T00:00:00"/>
    <s v="Lorient"/>
    <x v="1"/>
    <m/>
    <s v="Oui"/>
    <s v="QQ-716-IN"/>
    <n v="4"/>
    <x v="2"/>
    <x v="1"/>
    <x v="1"/>
    <n v="882.95296153169909"/>
    <n v="10498.310712611903"/>
    <n v="200"/>
    <n v="416"/>
    <n v="11114.310712611903"/>
    <n v="143.92133272966697"/>
  </r>
  <r>
    <n v="4641"/>
    <n v="2764"/>
    <x v="47"/>
    <d v="2026-09-28T00:00:00"/>
    <s v="Avignon"/>
    <x v="0"/>
    <n v="219.54"/>
    <s v="Non"/>
    <m/>
    <n v="5"/>
    <x v="0"/>
    <x v="0"/>
    <x v="0"/>
    <n v="1161.0252128104009"/>
    <n v="219.54"/>
    <n v="375"/>
    <n v="685"/>
    <n v="1130.905"/>
    <n v="2.3220504256208021"/>
  </r>
  <r>
    <n v="3582"/>
    <n v="7717"/>
    <x v="48"/>
    <d v="2026-09-23T00:00:00"/>
    <s v="Toulouse"/>
    <x v="1"/>
    <m/>
    <s v="Oui"/>
    <s v="417-IHX-79"/>
    <n v="1"/>
    <x v="10"/>
    <x v="1"/>
    <x v="1"/>
    <n v="1179.012942276431"/>
    <n v="9927.2889739675484"/>
    <n v="150"/>
    <n v="84"/>
    <n v="10161.288973967548"/>
    <n v="241.69765316666835"/>
  </r>
  <r>
    <n v="3582"/>
    <n v="4641"/>
    <x v="49"/>
    <d v="2026-10-02T00:00:00"/>
    <s v="Colmar"/>
    <x v="1"/>
    <m/>
    <s v="Oui"/>
    <s v="881-PXG-62"/>
    <n v="6"/>
    <x v="8"/>
    <x v="3"/>
    <x v="0"/>
    <n v="764.75255111810895"/>
    <n v="8779.3592868358919"/>
    <n v="300"/>
    <n v="504"/>
    <n v="9583.3592868358919"/>
    <n v="136.89070665014151"/>
  </r>
  <r>
    <n v="1435"/>
    <n v="4687"/>
    <x v="50"/>
    <d v="2026-10-08T00:00:00"/>
    <s v="Lille"/>
    <x v="0"/>
    <n v="265.79000000000002"/>
    <s v="Non"/>
    <m/>
    <n v="9"/>
    <x v="5"/>
    <x v="2"/>
    <x v="0"/>
    <n v="406.67072652136744"/>
    <n v="265.79000000000002"/>
    <n v="900"/>
    <n v="963"/>
    <n v="1837.3425"/>
    <n v="0.81334145304273486"/>
  </r>
  <r>
    <n v="8988"/>
    <n v="7371"/>
    <x v="51"/>
    <d v="2026-10-11T00:00:00"/>
    <s v="Angers"/>
    <x v="0"/>
    <n v="138.41999999999999"/>
    <s v="Non"/>
    <m/>
    <n v="10"/>
    <x v="4"/>
    <x v="2"/>
    <x v="3"/>
    <n v="529.19819952002911"/>
    <n v="138.41999999999999"/>
    <n v="1000"/>
    <n v="1980"/>
    <n v="2833.8150000000001"/>
    <n v="1.0583963990400582"/>
  </r>
  <r>
    <n v="3542"/>
    <n v="5674"/>
    <x v="52"/>
    <d v="2026-10-05T00:00:00"/>
    <s v="Saint-Nazaire"/>
    <x v="0"/>
    <n v="266.74"/>
    <s v="Oui"/>
    <m/>
    <n v="6"/>
    <x v="15"/>
    <x v="1"/>
    <x v="0"/>
    <n v="769.14012562021776"/>
    <n v="266.74"/>
    <n v="300"/>
    <n v="882"/>
    <n v="1448.74"/>
    <n v="1.5382802512404354"/>
  </r>
  <r>
    <n v="4751"/>
    <n v="7371"/>
    <x v="52"/>
    <d v="2026-10-01T00:00:00"/>
    <s v="Mérignac"/>
    <x v="0"/>
    <n v="314.33999999999997"/>
    <s v="Non"/>
    <m/>
    <n v="4"/>
    <x v="4"/>
    <x v="2"/>
    <x v="3"/>
    <n v="1007.2300393951127"/>
    <n v="314.33999999999997"/>
    <n v="200"/>
    <n v="584"/>
    <n v="969.75499999999988"/>
    <n v="2.0144600787902256"/>
  </r>
  <r>
    <n v="5959"/>
    <n v="9437"/>
    <x v="52"/>
    <d v="2026-10-06T00:00:00"/>
    <s v="Nancy"/>
    <x v="1"/>
    <m/>
    <s v="Non"/>
    <s v="575-EXN-41"/>
    <n v="7"/>
    <x v="3"/>
    <x v="1"/>
    <x v="2"/>
    <n v="565.65078678258772"/>
    <n v="3919.9599524033329"/>
    <n v="525"/>
    <n v="1386"/>
    <n v="4719.7199643024996"/>
    <n v="113.13015735651754"/>
  </r>
  <r>
    <n v="4744"/>
    <n v="8140"/>
    <x v="53"/>
    <d v="2026-10-03T00:00:00"/>
    <s v="Cergy"/>
    <x v="1"/>
    <m/>
    <s v="Oui"/>
    <s v="542-YQB-50"/>
    <n v="4"/>
    <x v="7"/>
    <x v="3"/>
    <x v="3"/>
    <n v="57.50657668707499"/>
    <n v="452.00169276040941"/>
    <n v="200"/>
    <n v="508"/>
    <n v="1160.0016927604095"/>
    <n v="13.629058674836774"/>
  </r>
  <r>
    <n v="7175"/>
    <n v="4641"/>
    <x v="54"/>
    <d v="2026-10-06T00:00:00"/>
    <s v="Le Mans"/>
    <x v="1"/>
    <m/>
    <s v="Non"/>
    <s v="542-YQB-50"/>
    <n v="4"/>
    <x v="8"/>
    <x v="3"/>
    <x v="0"/>
    <n v="371.16328358772228"/>
    <n v="4260.9544955870515"/>
    <n v="300"/>
    <n v="528"/>
    <n v="3948.7158716902886"/>
    <n v="87.965698210290185"/>
  </r>
  <r>
    <n v="5607"/>
    <n v="2776"/>
    <x v="54"/>
    <d v="2026-10-10T00:00:00"/>
    <s v="Courbevoie"/>
    <x v="1"/>
    <m/>
    <s v="Oui"/>
    <s v="TZ-811-YW"/>
    <n v="7"/>
    <x v="12"/>
    <x v="1"/>
    <x v="4"/>
    <n v="14.255627214604903"/>
    <n v="146.5478477661384"/>
    <n v="350"/>
    <n v="728"/>
    <n v="1224.5478477661384"/>
    <n v="3.0507042239254494"/>
  </r>
  <r>
    <n v="3772"/>
    <n v="8140"/>
    <x v="55"/>
    <d v="2026-10-15T00:00:00"/>
    <s v="Bordeaux"/>
    <x v="1"/>
    <m/>
    <s v="Non"/>
    <s v="TZ-811-YW"/>
    <n v="10"/>
    <x v="7"/>
    <x v="3"/>
    <x v="3"/>
    <n v="994.80960070076435"/>
    <n v="7819.2034615080083"/>
    <n v="1000"/>
    <n v="2050"/>
    <n v="8664.4025961310072"/>
    <n v="212.88925454996357"/>
  </r>
  <r>
    <n v="4641"/>
    <n v="4125"/>
    <x v="56"/>
    <d v="2026-10-11T00:00:00"/>
    <s v="Versailles"/>
    <x v="1"/>
    <m/>
    <s v="Oui"/>
    <s v="542-YQB-50"/>
    <n v="5"/>
    <x v="1"/>
    <x v="1"/>
    <x v="1"/>
    <n v="34.739702061881246"/>
    <n v="280.34939563938167"/>
    <n v="375"/>
    <n v="685"/>
    <n v="1340.3493956393818"/>
    <n v="8.2333093886658553"/>
  </r>
  <r>
    <n v="7954"/>
    <n v="4687"/>
    <x v="57"/>
    <d v="2026-10-09T00:00:00"/>
    <s v="Béziers"/>
    <x v="0"/>
    <n v="83.17"/>
    <s v="Non"/>
    <m/>
    <n v="4"/>
    <x v="5"/>
    <x v="2"/>
    <x v="0"/>
    <n v="1233.7826267272476"/>
    <n v="83.17"/>
    <n v="200"/>
    <n v="460"/>
    <n v="672.37750000000005"/>
    <n v="2.4675652534544952"/>
  </r>
  <r>
    <n v="8810"/>
    <n v="7717"/>
    <x v="58"/>
    <d v="2026-10-12T00:00:00"/>
    <s v="Aubervilliers"/>
    <x v="1"/>
    <m/>
    <s v="Oui"/>
    <s v="542-YQB-50"/>
    <n v="4"/>
    <x v="10"/>
    <x v="1"/>
    <x v="1"/>
    <n v="13.088746396149698"/>
    <n v="110.20724465558045"/>
    <n v="200"/>
    <n v="748"/>
    <n v="1058.2072446555803"/>
    <n v="3.1020328958874783"/>
  </r>
  <r>
    <n v="3137"/>
    <n v="6665"/>
    <x v="59"/>
    <d v="2026-10-22T00:00:00"/>
    <s v="Saint-Quentin"/>
    <x v="1"/>
    <m/>
    <s v="Non"/>
    <s v="588-AHF-83"/>
    <n v="11"/>
    <x v="2"/>
    <x v="1"/>
    <x v="1"/>
    <n v="258.21049310952969"/>
    <n v="3070.1227630723083"/>
    <n v="550"/>
    <n v="2156"/>
    <n v="4871.0920723042309"/>
    <n v="28.403154242048267"/>
  </r>
  <r>
    <n v="8195"/>
    <n v="4687"/>
    <x v="60"/>
    <d v="2026-10-15T00:00:00"/>
    <s v="Tourcoing"/>
    <x v="0"/>
    <n v="151.47"/>
    <s v="Non"/>
    <m/>
    <n v="4"/>
    <x v="5"/>
    <x v="2"/>
    <x v="0"/>
    <n v="430.97127785734853"/>
    <n v="151.47"/>
    <n v="300"/>
    <n v="508"/>
    <n v="846.60249999999996"/>
    <n v="0.86194255571469702"/>
  </r>
  <r>
    <n v="6423"/>
    <n v="5674"/>
    <x v="61"/>
    <d v="2026-10-17T00:00:00"/>
    <s v="Créteil"/>
    <x v="1"/>
    <m/>
    <s v="Oui"/>
    <s v="006-BJC-20"/>
    <n v="4"/>
    <x v="15"/>
    <x v="1"/>
    <x v="0"/>
    <n v="24.6966807629126"/>
    <n v="284.50576238875311"/>
    <n v="300"/>
    <n v="836"/>
    <n v="1420.5057623887531"/>
    <n v="2.5437581185799978"/>
  </r>
  <r>
    <n v="5959"/>
    <n v="9018"/>
    <x v="61"/>
    <d v="2026-10-23T00:00:00"/>
    <s v="Noisy-le-Grand"/>
    <x v="1"/>
    <m/>
    <s v="Oui"/>
    <s v="575-EXN-41"/>
    <n v="9"/>
    <x v="9"/>
    <x v="3"/>
    <x v="3"/>
    <n v="34.000642244132983"/>
    <n v="215.5640718278031"/>
    <n v="450"/>
    <n v="1782"/>
    <n v="2447.5640718278032"/>
    <n v="6.8001284488265963"/>
  </r>
  <r>
    <n v="3582"/>
    <n v="9256"/>
    <x v="62"/>
    <d v="2026-10-22T00:00:00"/>
    <s v="Béziers"/>
    <x v="0"/>
    <n v="265.82"/>
    <s v="Oui"/>
    <m/>
    <n v="7"/>
    <x v="16"/>
    <x v="1"/>
    <x v="0"/>
    <n v="1233.7826267272476"/>
    <n v="265.82"/>
    <n v="350"/>
    <n v="588"/>
    <n v="1203.82"/>
    <n v="2.4675652534544952"/>
  </r>
  <r>
    <n v="4733"/>
    <n v="2764"/>
    <x v="63"/>
    <d v="2026-10-18T00:00:00"/>
    <s v="Neuilly-sur-Seine"/>
    <x v="1"/>
    <m/>
    <s v="Oui"/>
    <s v="TZ-811-YW"/>
    <n v="0"/>
    <x v="0"/>
    <x v="0"/>
    <x v="0"/>
    <n v="11.430453806573089"/>
    <n v="80.356090260208816"/>
    <n v="0"/>
    <n v="194"/>
    <n v="274.35609026020882"/>
    <n v="2.4461171146066412"/>
  </r>
  <r>
    <n v="3542"/>
    <n v="3987"/>
    <x v="64"/>
    <d v="2026-10-21T00:00:00"/>
    <s v="Colombes"/>
    <x v="1"/>
    <m/>
    <s v="Oui"/>
    <s v="881-PXG-62"/>
    <n v="3"/>
    <x v="6"/>
    <x v="1"/>
    <x v="2"/>
    <n v="18.704795145201192"/>
    <n v="183.86813627732772"/>
    <n v="225"/>
    <n v="441"/>
    <n v="849.86813627732772"/>
    <n v="3.3481583309910135"/>
  </r>
  <r>
    <n v="5211"/>
    <n v="7717"/>
    <x v="65"/>
    <d v="2026-10-27T00:00:00"/>
    <s v="Cergy"/>
    <x v="1"/>
    <m/>
    <s v="Non"/>
    <s v="588-AHF-83"/>
    <n v="6"/>
    <x v="10"/>
    <x v="1"/>
    <x v="1"/>
    <n v="57.50657668707499"/>
    <n v="484.20537570517143"/>
    <n v="300"/>
    <n v="1062"/>
    <n v="1650.1540317788786"/>
    <n v="6.3257234355782481"/>
  </r>
  <r>
    <n v="4359"/>
    <n v="9437"/>
    <x v="65"/>
    <d v="2026-10-23T00:00:00"/>
    <s v="Aulnay-sous-Bois"/>
    <x v="1"/>
    <m/>
    <s v="Oui"/>
    <s v="QQ-716-IN"/>
    <n v="4"/>
    <x v="3"/>
    <x v="1"/>
    <x v="2"/>
    <n v="29.536377804270522"/>
    <n v="204.68709818359471"/>
    <n v="300"/>
    <n v="408"/>
    <n v="912.68709818359468"/>
    <n v="4.8144295820960954"/>
  </r>
  <r>
    <n v="7954"/>
    <n v="4125"/>
    <x v="66"/>
    <d v="2026-10-31T00:00:00"/>
    <s v="Perpignan"/>
    <x v="1"/>
    <m/>
    <s v="Oui"/>
    <s v="588-AHF-83"/>
    <n v="6"/>
    <x v="1"/>
    <x v="1"/>
    <x v="1"/>
    <n v="1373.4564493751479"/>
    <n v="11083.793546457444"/>
    <n v="450"/>
    <n v="690"/>
    <n v="12223.793546457444"/>
    <n v="151.08020943126627"/>
  </r>
  <r>
    <n v="4733"/>
    <n v="7371"/>
    <x v="66"/>
    <d v="2026-11-04T00:00:00"/>
    <s v="Angers"/>
    <x v="0"/>
    <n v="341.43"/>
    <s v="Non"/>
    <m/>
    <n v="9"/>
    <x v="4"/>
    <x v="2"/>
    <x v="3"/>
    <n v="529.19819952002911"/>
    <n v="341.43"/>
    <n v="900"/>
    <n v="1746"/>
    <n v="2677.0725000000002"/>
    <n v="1.0583963990400582"/>
  </r>
  <r>
    <n v="4751"/>
    <n v="8140"/>
    <x v="67"/>
    <d v="2026-10-30T00:00:00"/>
    <s v="Nantes"/>
    <x v="0"/>
    <n v="275.66000000000003"/>
    <s v="Non"/>
    <m/>
    <n v="5"/>
    <x v="7"/>
    <x v="3"/>
    <x v="3"/>
    <n v="683.30734654703679"/>
    <n v="275.66000000000003"/>
    <n v="500"/>
    <n v="730"/>
    <n v="1311.7450000000001"/>
    <n v="1.3666146930940735"/>
  </r>
  <r>
    <n v="5607"/>
    <n v="3987"/>
    <x v="67"/>
    <d v="2026-11-04T00:00:00"/>
    <s v="Avignon"/>
    <x v="1"/>
    <m/>
    <s v="Oui"/>
    <s v="QQ-716-IN"/>
    <n v="8"/>
    <x v="6"/>
    <x v="1"/>
    <x v="2"/>
    <n v="1161.0252128104009"/>
    <n v="11412.877841926242"/>
    <n v="600"/>
    <n v="832"/>
    <n v="12844.877841926242"/>
    <n v="189.24710968809535"/>
  </r>
  <r>
    <n v="8988"/>
    <n v="9256"/>
    <x v="67"/>
    <d v="2026-10-31T00:00:00"/>
    <s v="Mérignac"/>
    <x v="1"/>
    <m/>
    <s v="Non"/>
    <s v="881-PXG-62"/>
    <n v="5"/>
    <x v="16"/>
    <x v="1"/>
    <x v="0"/>
    <n v="1007.2300393951127"/>
    <n v="6647.718260007744"/>
    <n v="250"/>
    <n v="990"/>
    <n v="6163.2886950058082"/>
    <n v="180.2941770517252"/>
  </r>
  <r>
    <n v="7063"/>
    <n v="3987"/>
    <x v="68"/>
    <d v="2026-11-01T00:00:00"/>
    <s v="Rueil-Malmaison"/>
    <x v="1"/>
    <m/>
    <s v="Non"/>
    <s v="575-EXN-41"/>
    <n v="5"/>
    <x v="6"/>
    <x v="1"/>
    <x v="2"/>
    <n v="23.369681001270123"/>
    <n v="229.72396424248532"/>
    <n v="250"/>
    <n v="710"/>
    <n v="1069.792973181864"/>
    <n v="4.6739362002540243"/>
  </r>
  <r>
    <n v="4744"/>
    <n v="9437"/>
    <x v="69"/>
    <d v="2026-11-05T00:00:00"/>
    <s v="Orléans"/>
    <x v="0"/>
    <n v="148.6"/>
    <s v="Oui"/>
    <m/>
    <n v="8"/>
    <x v="3"/>
    <x v="1"/>
    <x v="2"/>
    <n v="226.61493313083076"/>
    <n v="148.6"/>
    <n v="600"/>
    <n v="1016"/>
    <n v="1764.6"/>
    <n v="0.45322986626166151"/>
  </r>
  <r>
    <n v="3582"/>
    <n v="2764"/>
    <x v="70"/>
    <d v="2026-10-29T00:00:00"/>
    <s v="Pau"/>
    <x v="1"/>
    <m/>
    <s v="Non"/>
    <s v="006-BJC-20"/>
    <n v="1"/>
    <x v="0"/>
    <x v="0"/>
    <x v="0"/>
    <n v="1300.1152115931732"/>
    <n v="9139.8099375000074"/>
    <n v="75"/>
    <n v="84"/>
    <n v="6995.1074531250051"/>
    <n v="133.91186679409682"/>
  </r>
  <r>
    <n v="6423"/>
    <n v="3850"/>
    <x v="71"/>
    <d v="2026-11-01T00:00:00"/>
    <s v="Valence"/>
    <x v="1"/>
    <m/>
    <s v="Oui"/>
    <s v="575-EXN-41"/>
    <n v="0"/>
    <x v="14"/>
    <x v="2"/>
    <x v="3"/>
    <n v="959.88687124935257"/>
    <n v="11345.862818167348"/>
    <n v="0"/>
    <n v="209"/>
    <n v="11554.862818167348"/>
    <n v="191.97737424987051"/>
  </r>
  <r>
    <n v="5959"/>
    <n v="4125"/>
    <x v="71"/>
    <d v="2026-11-15T00:00:00"/>
    <s v="Évreux"/>
    <x v="1"/>
    <m/>
    <s v="Non"/>
    <s v="881-PXG-62"/>
    <n v="9"/>
    <x v="1"/>
    <x v="1"/>
    <x v="1"/>
    <n v="178.50434280757426"/>
    <n v="1440.5300464571244"/>
    <n v="450"/>
    <n v="1782"/>
    <n v="3199.897534842843"/>
    <n v="31.952277362555794"/>
  </r>
  <r>
    <n v="4359"/>
    <n v="2764"/>
    <x v="71"/>
    <d v="2026-11-16T00:00:00"/>
    <s v="Saint-Quentin"/>
    <x v="1"/>
    <m/>
    <s v="Non"/>
    <s v="417-IHX-79"/>
    <n v="10"/>
    <x v="0"/>
    <x v="0"/>
    <x v="0"/>
    <n v="258.21049310952969"/>
    <n v="1815.2197665599938"/>
    <n v="500"/>
    <n v="1020"/>
    <n v="2756.4148249199952"/>
    <n v="52.933151087453588"/>
  </r>
  <r>
    <n v="7175"/>
    <n v="2764"/>
    <x v="72"/>
    <d v="2026-11-09T00:00:00"/>
    <s v="Valence"/>
    <x v="0"/>
    <n v="102.96"/>
    <s v="Oui"/>
    <m/>
    <n v="5"/>
    <x v="0"/>
    <x v="0"/>
    <x v="0"/>
    <n v="959.88687124935257"/>
    <n v="102.96"/>
    <n v="250"/>
    <n v="660"/>
    <n v="1012.96"/>
    <n v="1.9197737424987051"/>
  </r>
  <r>
    <n v="3772"/>
    <n v="8140"/>
    <x v="73"/>
    <d v="2026-11-17T00:00:00"/>
    <s v="Champigny-sur-Marne"/>
    <x v="1"/>
    <m/>
    <s v="Oui"/>
    <s v="542-YQB-50"/>
    <n v="9"/>
    <x v="7"/>
    <x v="3"/>
    <x v="3"/>
    <n v="28.398104953178237"/>
    <n v="223.20910493198096"/>
    <n v="450"/>
    <n v="1845"/>
    <n v="2518.2091049319811"/>
    <n v="6.7303508739032418"/>
  </r>
  <r>
    <n v="4751"/>
    <n v="8140"/>
    <x v="74"/>
    <d v="2026-11-07T00:00:00"/>
    <s v="Saint-Maur-des-Fossés"/>
    <x v="1"/>
    <m/>
    <s v="Non"/>
    <s v="588-AHF-83"/>
    <n v="2"/>
    <x v="7"/>
    <x v="3"/>
    <x v="3"/>
    <n v="27.114626034068944"/>
    <n v="213.12096062778193"/>
    <n v="100"/>
    <n v="292"/>
    <n v="526.84072047083646"/>
    <n v="2.982608863747584"/>
  </r>
  <r>
    <n v="1435"/>
    <n v="5674"/>
    <x v="75"/>
    <d v="2026-11-17T00:00:00"/>
    <s v="Tourcoing"/>
    <x v="0"/>
    <n v="115.06"/>
    <s v="Oui"/>
    <m/>
    <n v="7"/>
    <x v="15"/>
    <x v="1"/>
    <x v="0"/>
    <n v="430.97127785734853"/>
    <n v="115.06"/>
    <n v="525"/>
    <n v="749"/>
    <n v="1389.06"/>
    <n v="0.86194255571469702"/>
  </r>
  <r>
    <n v="8195"/>
    <n v="4641"/>
    <x v="75"/>
    <d v="2026-11-08T00:00:00"/>
    <s v="Saint-Maur-des-Fossés"/>
    <x v="1"/>
    <m/>
    <s v="Oui"/>
    <s v="765-JSQ-81"/>
    <n v="1"/>
    <x v="8"/>
    <x v="3"/>
    <x v="0"/>
    <n v="27.114626034068944"/>
    <n v="311.27590687111149"/>
    <n v="50"/>
    <n v="127"/>
    <n v="488.27590687111149"/>
    <n v="8.0259293060844072"/>
  </r>
  <r>
    <n v="4744"/>
    <n v="3987"/>
    <x v="76"/>
    <d v="2026-11-12T00:00:00"/>
    <s v="Metz"/>
    <x v="0"/>
    <n v="227.32"/>
    <s v="Oui"/>
    <m/>
    <n v="3"/>
    <x v="6"/>
    <x v="1"/>
    <x v="2"/>
    <n v="567.5087752446691"/>
    <n v="227.32"/>
    <n v="225"/>
    <n v="381"/>
    <n v="833.31999999999994"/>
    <n v="1.1350175504893383"/>
  </r>
  <r>
    <n v="5607"/>
    <n v="5674"/>
    <x v="77"/>
    <d v="2026-11-12T00:00:00"/>
    <s v="Saint-Maur-des-Fossés"/>
    <x v="1"/>
    <m/>
    <s v="Non"/>
    <s v="765-JSQ-81"/>
    <n v="3"/>
    <x v="15"/>
    <x v="1"/>
    <x v="0"/>
    <n v="27.114626034068944"/>
    <n v="312.36049191247423"/>
    <n v="150"/>
    <n v="312"/>
    <n v="658.7703689343557"/>
    <n v="8.0259293060844072"/>
  </r>
  <r>
    <n v="4641"/>
    <n v="4641"/>
    <x v="77"/>
    <d v="2026-11-18T00:00:00"/>
    <s v="Évreux"/>
    <x v="1"/>
    <m/>
    <s v="Non"/>
    <s v="588-AHF-83"/>
    <n v="7"/>
    <x v="8"/>
    <x v="3"/>
    <x v="0"/>
    <n v="178.50434280757426"/>
    <n v="2049.2298554309527"/>
    <n v="350"/>
    <n v="959"/>
    <n v="2758.4223915732146"/>
    <n v="19.635477708833168"/>
  </r>
  <r>
    <n v="8988"/>
    <n v="6665"/>
    <x v="77"/>
    <d v="2026-11-19T00:00:00"/>
    <s v="Cergy"/>
    <x v="1"/>
    <m/>
    <s v="Oui"/>
    <s v="765-JSQ-81"/>
    <n v="8"/>
    <x v="2"/>
    <x v="1"/>
    <x v="1"/>
    <n v="57.50657668707499"/>
    <n v="683.75319680932171"/>
    <n v="400"/>
    <n v="1584"/>
    <n v="2667.7531968093217"/>
    <n v="17.021946699374194"/>
  </r>
  <r>
    <n v="5211"/>
    <n v="2764"/>
    <x v="78"/>
    <d v="2026-11-21T00:00:00"/>
    <s v="Rouen"/>
    <x v="0"/>
    <n v="108.91"/>
    <s v="Non"/>
    <m/>
    <n v="8"/>
    <x v="0"/>
    <x v="0"/>
    <x v="0"/>
    <n v="222.4714022436518"/>
    <n v="108.91"/>
    <n v="600"/>
    <n v="1416"/>
    <n v="1947.6824999999999"/>
    <n v="0.44494280448730361"/>
  </r>
  <r>
    <n v="3582"/>
    <n v="3850"/>
    <x v="78"/>
    <d v="2026-11-22T00:00:00"/>
    <s v="Bourges"/>
    <x v="0"/>
    <n v="138.21"/>
    <s v="Non"/>
    <m/>
    <n v="8"/>
    <x v="14"/>
    <x v="2"/>
    <x v="3"/>
    <n v="397.6709091109758"/>
    <n v="138.21"/>
    <n v="400"/>
    <n v="672"/>
    <n v="1075.6575"/>
    <n v="0.7953418182219516"/>
  </r>
  <r>
    <n v="7954"/>
    <n v="7371"/>
    <x v="79"/>
    <d v="2026-11-11T00:00:00"/>
    <s v="Villeneuve-d'Ascq"/>
    <x v="0"/>
    <n v="230.59"/>
    <s v="Non"/>
    <m/>
    <n v="0"/>
    <x v="4"/>
    <x v="2"/>
    <x v="3"/>
    <n v="410.92880972718422"/>
    <n v="230.59"/>
    <n v="0"/>
    <n v="115"/>
    <n v="287.9425"/>
    <n v="0.82185761945436842"/>
  </r>
  <r>
    <n v="8810"/>
    <n v="9256"/>
    <x v="79"/>
    <d v="2026-11-21T00:00:00"/>
    <s v="Nanterre"/>
    <x v="1"/>
    <m/>
    <s v="Oui"/>
    <s v="417-IHX-79"/>
    <n v="7"/>
    <x v="16"/>
    <x v="1"/>
    <x v="0"/>
    <n v="20.412162969195503"/>
    <n v="134.7202755966903"/>
    <n v="525"/>
    <n v="1309"/>
    <n v="1968.7202755966903"/>
    <n v="4.1844934086850785"/>
  </r>
  <r>
    <n v="3542"/>
    <n v="9018"/>
    <x v="80"/>
    <d v="2026-11-16T00:00:00"/>
    <s v="Aubervilliers"/>
    <x v="1"/>
    <m/>
    <s v="Oui"/>
    <s v="TZ-811-YW"/>
    <n v="1"/>
    <x v="9"/>
    <x v="3"/>
    <x v="3"/>
    <n v="13.088746396149698"/>
    <n v="82.982652151589079"/>
    <n v="50"/>
    <n v="147"/>
    <n v="279.98265215158909"/>
    <n v="2.8009917287760353"/>
  </r>
  <r>
    <n v="3137"/>
    <n v="9256"/>
    <x v="81"/>
    <d v="2026-12-02T00:00:00"/>
    <s v="Saint-Étienne"/>
    <x v="1"/>
    <m/>
    <s v="Oui"/>
    <s v="765-JSQ-81"/>
    <n v="10"/>
    <x v="16"/>
    <x v="1"/>
    <x v="0"/>
    <n v="823.6419507241809"/>
    <n v="5436.0368747795937"/>
    <n v="1000"/>
    <n v="1960"/>
    <n v="8396.0368747795947"/>
    <n v="243.79801741435753"/>
  </r>
  <r>
    <n v="7175"/>
    <n v="8140"/>
    <x v="82"/>
    <d v="2026-11-25T00:00:00"/>
    <s v="Drancy"/>
    <x v="1"/>
    <m/>
    <s v="Non"/>
    <s v="TZ-811-YW"/>
    <n v="4"/>
    <x v="7"/>
    <x v="3"/>
    <x v="3"/>
    <n v="20.896295688641462"/>
    <n v="164.24488411272191"/>
    <n v="200"/>
    <n v="528"/>
    <n v="801.18366308454142"/>
    <n v="4.4718072773692725"/>
  </r>
  <r>
    <n v="7954"/>
    <n v="9018"/>
    <x v="83"/>
    <d v="2026-12-06T00:00:00"/>
    <s v="Nantes"/>
    <x v="1"/>
    <m/>
    <s v="Non"/>
    <s v="006-BJC-20"/>
    <n v="10"/>
    <x v="9"/>
    <x v="3"/>
    <x v="3"/>
    <n v="683.30734654703679"/>
    <n v="4332.168577108213"/>
    <n v="1000"/>
    <n v="1150"/>
    <n v="5149.1264328311599"/>
    <n v="70.380656694344779"/>
  </r>
  <r>
    <n v="8988"/>
    <n v="3987"/>
    <x v="83"/>
    <d v="2026-11-27T00:00:00"/>
    <s v="Drancy"/>
    <x v="1"/>
    <m/>
    <s v="Oui"/>
    <s v="QF-109-TX"/>
    <n v="5"/>
    <x v="6"/>
    <x v="1"/>
    <x v="2"/>
    <n v="20.896295688641462"/>
    <n v="205.41058661934557"/>
    <n v="250"/>
    <n v="990"/>
    <n v="1445.4105866193456"/>
    <n v="3.2389258317394263"/>
  </r>
  <r>
    <n v="8810"/>
    <n v="9437"/>
    <x v="84"/>
    <d v="2026-12-08T00:00:00"/>
    <s v="Saint-Maur-des-Fossés"/>
    <x v="1"/>
    <m/>
    <s v="Oui"/>
    <s v="417-IHX-79"/>
    <n v="11"/>
    <x v="3"/>
    <x v="1"/>
    <x v="2"/>
    <n v="27.114626034068944"/>
    <n v="187.90435841609778"/>
    <n v="550"/>
    <n v="2057"/>
    <n v="2794.9043584160977"/>
    <n v="5.5584983369841341"/>
  </r>
  <r>
    <n v="8195"/>
    <n v="3394"/>
    <x v="84"/>
    <d v="2026-12-01T00:00:00"/>
    <s v="Évreux"/>
    <x v="1"/>
    <m/>
    <s v="Non"/>
    <s v="765-JSQ-81"/>
    <n v="6"/>
    <x v="13"/>
    <x v="0"/>
    <x v="2"/>
    <n v="178.50434280757426"/>
    <n v="1515.5018704363056"/>
    <n v="300"/>
    <n v="762"/>
    <n v="2123.626402827229"/>
    <n v="52.83728547104198"/>
  </r>
  <r>
    <n v="6423"/>
    <n v="5674"/>
    <x v="85"/>
    <d v="2026-12-10T00:00:00"/>
    <s v="Aulnay-sous-Bois"/>
    <x v="1"/>
    <m/>
    <s v="Oui"/>
    <s v="417-IHX-79"/>
    <n v="12"/>
    <x v="15"/>
    <x v="1"/>
    <x v="0"/>
    <n v="29.536377804270522"/>
    <n v="340.25907230519641"/>
    <n v="900"/>
    <n v="2508"/>
    <n v="3748.2590723051962"/>
    <n v="6.0549574498754577"/>
  </r>
  <r>
    <n v="4751"/>
    <n v="3394"/>
    <x v="85"/>
    <d v="2026-12-08T00:00:00"/>
    <s v="Pau"/>
    <x v="1"/>
    <m/>
    <s v="Non"/>
    <s v="QF-109-TX"/>
    <n v="10"/>
    <x v="13"/>
    <x v="0"/>
    <x v="2"/>
    <n v="1300.1152115931732"/>
    <n v="11037.978146426041"/>
    <n v="750"/>
    <n v="1460"/>
    <n v="10300.98360981953"/>
    <n v="201.51785779694185"/>
  </r>
  <r>
    <n v="5607"/>
    <n v="9256"/>
    <x v="86"/>
    <d v="2026-12-11T00:00:00"/>
    <s v="Roubaix"/>
    <x v="0"/>
    <n v="120.47"/>
    <s v="Oui"/>
    <m/>
    <n v="12"/>
    <x v="16"/>
    <x v="1"/>
    <x v="0"/>
    <n v="423.94716370353035"/>
    <n v="120.47"/>
    <n v="900"/>
    <n v="1248"/>
    <n v="2268.4700000000003"/>
    <n v="0.84789432740706072"/>
  </r>
  <r>
    <n v="4733"/>
    <n v="4687"/>
    <x v="87"/>
    <d v="2026-12-09T00:00:00"/>
    <s v="Courbevoie"/>
    <x v="1"/>
    <m/>
    <s v="Non"/>
    <s v="006-BJC-20"/>
    <n v="8"/>
    <x v="5"/>
    <x v="2"/>
    <x v="0"/>
    <n v="14.255627214604903"/>
    <n v="120.88771877984959"/>
    <n v="400"/>
    <n v="1552"/>
    <n v="1942.6657890848871"/>
    <n v="1.4683296031043052"/>
  </r>
  <r>
    <n v="4744"/>
    <n v="4125"/>
    <x v="87"/>
    <d v="2026-12-01T00:00:00"/>
    <s v="Aix-en-Provence"/>
    <x v="1"/>
    <m/>
    <s v="Non"/>
    <s v="TZ-811-YW"/>
    <n v="2"/>
    <x v="1"/>
    <x v="1"/>
    <x v="1"/>
    <n v="1274.7395363740186"/>
    <n v="10287.148058538331"/>
    <n v="150"/>
    <n v="254"/>
    <n v="8081.8610439037475"/>
    <n v="272.79426078403998"/>
  </r>
  <r>
    <n v="5959"/>
    <n v="7717"/>
    <x v="88"/>
    <d v="2026-12-09T00:00:00"/>
    <s v="Aulnay-sous-Bois"/>
    <x v="1"/>
    <m/>
    <s v="Non"/>
    <s v="QQ-716-IN"/>
    <n v="8"/>
    <x v="10"/>
    <x v="1"/>
    <x v="1"/>
    <n v="29.536377804270522"/>
    <n v="248.69630111195778"/>
    <n v="600"/>
    <n v="1584"/>
    <n v="2220.5222258339682"/>
    <n v="4.8144295820960954"/>
  </r>
  <r>
    <n v="1435"/>
    <n v="9437"/>
    <x v="89"/>
    <d v="2026-12-12T00:00:00"/>
    <s v="Le Mans"/>
    <x v="0"/>
    <n v="95.93"/>
    <s v="Oui"/>
    <m/>
    <n v="7"/>
    <x v="3"/>
    <x v="1"/>
    <x v="2"/>
    <n v="371.16328358772228"/>
    <n v="95.93"/>
    <n v="525"/>
    <n v="749"/>
    <n v="1369.93"/>
    <n v="0.74232656717544454"/>
  </r>
  <r>
    <n v="3137"/>
    <n v="3394"/>
    <x v="90"/>
    <d v="2026-12-17T00:00:00"/>
    <s v="Montreuil"/>
    <x v="1"/>
    <m/>
    <s v="Non"/>
    <s v="QF-109-TX"/>
    <n v="6"/>
    <x v="13"/>
    <x v="0"/>
    <x v="2"/>
    <n v="16.416834937395087"/>
    <n v="139.37892861848431"/>
    <n v="450"/>
    <n v="1176"/>
    <n v="1618.0341964638633"/>
    <n v="2.5446094152962386"/>
  </r>
  <r>
    <n v="3772"/>
    <n v="4687"/>
    <x v="90"/>
    <d v="2026-12-25T00:00:00"/>
    <s v="Cholet"/>
    <x v="1"/>
    <m/>
    <s v="Oui"/>
    <s v="006-BJC-20"/>
    <n v="11"/>
    <x v="5"/>
    <x v="2"/>
    <x v="0"/>
    <n v="627.46733360788642"/>
    <n v="5320.9229889948774"/>
    <n v="550"/>
    <n v="2255"/>
    <n v="8125.9229889948774"/>
    <n v="64.629135361612299"/>
  </r>
  <r>
    <n v="8988"/>
    <n v="9437"/>
    <x v="91"/>
    <d v="2026-12-23T00:00:00"/>
    <s v="Créteil"/>
    <x v="1"/>
    <m/>
    <s v="Non"/>
    <s v="QQ-716-IN"/>
    <n v="9"/>
    <x v="3"/>
    <x v="1"/>
    <x v="2"/>
    <n v="24.6966807629126"/>
    <n v="171.1479976869843"/>
    <n v="675"/>
    <n v="1782"/>
    <n v="2416.6109982652383"/>
    <n v="4.0255589643547536"/>
  </r>
  <r>
    <n v="4359"/>
    <n v="8140"/>
    <x v="91"/>
    <d v="2026-12-23T00:00:00"/>
    <s v="Nîmes"/>
    <x v="0"/>
    <n v="303.45999999999998"/>
    <s v="Non"/>
    <m/>
    <n v="9"/>
    <x v="7"/>
    <x v="3"/>
    <x v="3"/>
    <n v="1157.5879728259688"/>
    <n v="303.45999999999998"/>
    <n v="675"/>
    <n v="918"/>
    <n v="1651.845"/>
    <n v="2.3151759456519376"/>
  </r>
  <r>
    <n v="7954"/>
    <n v="9018"/>
    <x v="92"/>
    <d v="2026-12-15T00:00:00"/>
    <s v="Laval"/>
    <x v="0"/>
    <n v="270.68"/>
    <s v="Non"/>
    <m/>
    <n v="2"/>
    <x v="9"/>
    <x v="3"/>
    <x v="3"/>
    <n v="492.25514367701084"/>
    <n v="270.68"/>
    <n v="100"/>
    <n v="230"/>
    <n v="508.01"/>
    <n v="0.98451028735402168"/>
  </r>
  <r>
    <n v="5211"/>
    <n v="7371"/>
    <x v="92"/>
    <d v="2026-12-15T00:00:00"/>
    <s v="Vannes"/>
    <x v="1"/>
    <m/>
    <s v="Oui"/>
    <s v="542-YQB-50"/>
    <n v="2"/>
    <x v="4"/>
    <x v="2"/>
    <x v="3"/>
    <n v="802.07383910513863"/>
    <n v="7226.6852903372992"/>
    <n v="100"/>
    <n v="354"/>
    <n v="7680.6852903372992"/>
    <n v="190.09149986791786"/>
  </r>
  <r>
    <n v="7175"/>
    <n v="7717"/>
    <x v="92"/>
    <d v="2026-12-27T00:00:00"/>
    <s v="Fontenay-sous-Bois"/>
    <x v="1"/>
    <m/>
    <s v="Non"/>
    <s v="QF-109-TX"/>
    <n v="9"/>
    <x v="10"/>
    <x v="1"/>
    <x v="1"/>
    <n v="20.365399926691858"/>
    <n v="171.47666738274543"/>
    <n v="450"/>
    <n v="1188"/>
    <n v="1654.107500537059"/>
    <n v="3.1566369886372381"/>
  </r>
  <r>
    <n v="4641"/>
    <n v="2764"/>
    <x v="93"/>
    <d v="2026-12-14T00:00:00"/>
    <s v="Villeurbanne"/>
    <x v="1"/>
    <m/>
    <s v="Non"/>
    <s v="TZ-811-YW"/>
    <n v="1"/>
    <x v="0"/>
    <x v="0"/>
    <x v="0"/>
    <n v="788.28427562019067"/>
    <n v="5541.6384576099408"/>
    <n v="75"/>
    <n v="137"/>
    <n v="4349.4788432074556"/>
    <n v="168.69283498272083"/>
  </r>
  <r>
    <n v="1435"/>
    <n v="4641"/>
    <x v="94"/>
    <d v="2026-12-18T00:00:00"/>
    <s v="Pau"/>
    <x v="1"/>
    <m/>
    <s v="Non"/>
    <s v="575-EXN-41"/>
    <n v="4"/>
    <x v="8"/>
    <x v="3"/>
    <x v="0"/>
    <n v="1300.1152115931732"/>
    <n v="14925.322629089629"/>
    <n v="300"/>
    <n v="428"/>
    <n v="11846.991971817222"/>
    <n v="260.02304231863462"/>
  </r>
  <r>
    <n v="4733"/>
    <n v="8140"/>
    <x v="95"/>
    <d v="2026-12-18T00:00:00"/>
    <s v="Tourcoing"/>
    <x v="1"/>
    <m/>
    <s v="Oui"/>
    <s v="575-EXN-41"/>
    <n v="2"/>
    <x v="7"/>
    <x v="3"/>
    <x v="3"/>
    <n v="430.97127785734853"/>
    <n v="3387.4342439587595"/>
    <n v="150"/>
    <n v="388"/>
    <n v="3925.4342439587595"/>
    <n v="86.194255571469711"/>
  </r>
  <r>
    <n v="3582"/>
    <n v="7717"/>
    <x v="96"/>
    <d v="2026-12-18T00:00:00"/>
    <s v="Lorient"/>
    <x v="1"/>
    <m/>
    <s v="Non"/>
    <s v="TZ-811-YW"/>
    <n v="1"/>
    <x v="10"/>
    <x v="1"/>
    <x v="1"/>
    <n v="882.95296153169909"/>
    <n v="7434.4639360969059"/>
    <n v="50"/>
    <n v="84"/>
    <n v="5697.3479520726796"/>
    <n v="188.9519337677836"/>
  </r>
  <r>
    <n v="6423"/>
    <n v="2776"/>
    <x v="97"/>
    <d v="2026-12-25T00:00:00"/>
    <s v="Nantes"/>
    <x v="0"/>
    <n v="81.69"/>
    <s v="Oui"/>
    <m/>
    <n v="4"/>
    <x v="12"/>
    <x v="1"/>
    <x v="4"/>
    <n v="683.30734654703679"/>
    <n v="81.69"/>
    <n v="400"/>
    <n v="836"/>
    <n v="1317.69"/>
    <n v="1.3666146930940735"/>
  </r>
  <r>
    <n v="5959"/>
    <n v="9437"/>
    <x v="97"/>
    <d v="2026-12-31T00:00:00"/>
    <s v="Fontenay-sous-Bois"/>
    <x v="1"/>
    <m/>
    <s v="Non"/>
    <s v="588-AHF-83"/>
    <n v="8"/>
    <x v="3"/>
    <x v="1"/>
    <x v="2"/>
    <n v="20.365399926691858"/>
    <n v="141.13222149197458"/>
    <n v="400"/>
    <n v="1584"/>
    <n v="1989.849166118981"/>
    <n v="2.2401939919361045"/>
  </r>
  <r>
    <n v="4751"/>
    <n v="1309"/>
    <x v="98"/>
    <d v="2026-12-31T00:00:00"/>
    <s v="Antony"/>
    <x v="1"/>
    <m/>
    <s v="Oui"/>
    <s v="542-YQB-50"/>
    <n v="7"/>
    <x v="11"/>
    <x v="4"/>
    <x v="0"/>
    <n v="25.558114062238335"/>
    <n v="231.55651340387934"/>
    <n v="350"/>
    <n v="1022"/>
    <n v="1603.5565134038793"/>
    <n v="6.0572730327504853"/>
  </r>
  <r>
    <n v="3582"/>
    <n v="9437"/>
    <x v="99"/>
    <d v="2026-12-24T00:00:00"/>
    <s v="Calais"/>
    <x v="1"/>
    <m/>
    <s v="Non"/>
    <s v="TZ-811-YW"/>
    <n v="2"/>
    <x v="3"/>
    <x v="1"/>
    <x v="2"/>
    <n v="469.07794383041016"/>
    <n v="3250.7101507447424"/>
    <n v="150"/>
    <n v="168"/>
    <n v="2718.5326130585568"/>
    <n v="100.38267997970777"/>
  </r>
  <r>
    <n v="7954"/>
    <n v="9256"/>
    <x v="100"/>
    <d v="2026-12-31T00:00:00"/>
    <s v="Poitiers"/>
    <x v="1"/>
    <m/>
    <s v="Oui"/>
    <s v="006-BJC-20"/>
    <n v="5"/>
    <x v="16"/>
    <x v="1"/>
    <x v="0"/>
    <n v="587.06204843006071"/>
    <n v="3874.6095196384003"/>
    <n v="375"/>
    <n v="575"/>
    <n v="4824.6095196384003"/>
    <n v="60.467390988296252"/>
  </r>
  <r>
    <n v="4641"/>
    <n v="7717"/>
    <x v="100"/>
    <d v="2026-12-30T00:00:00"/>
    <s v="Laval"/>
    <x v="0"/>
    <n v="272.82"/>
    <s v="Oui"/>
    <m/>
    <n v="4"/>
    <x v="10"/>
    <x v="1"/>
    <x v="1"/>
    <n v="492.25514367701084"/>
    <n v="272.82"/>
    <n v="200"/>
    <n v="548"/>
    <n v="1020.8199999999999"/>
    <n v="0.98451028735402168"/>
  </r>
  <r>
    <n v="4744"/>
    <n v="4125"/>
    <x v="101"/>
    <d v="2027-01-08T00:00:00"/>
    <s v="Tours"/>
    <x v="1"/>
    <m/>
    <s v="Non"/>
    <s v="588-AHF-83"/>
    <n v="8"/>
    <x v="1"/>
    <x v="1"/>
    <x v="1"/>
    <n v="406.90584632466727"/>
    <n v="3283.7301798400649"/>
    <n v="600"/>
    <n v="1016"/>
    <n v="3928.7976348800485"/>
    <n v="44.7596430957134"/>
  </r>
  <r>
    <n v="8195"/>
    <n v="5674"/>
    <x v="101"/>
    <d v="2027-01-12T00:00:00"/>
    <s v="Antony"/>
    <x v="1"/>
    <m/>
    <s v="Oui"/>
    <s v="575-EXN-41"/>
    <n v="10"/>
    <x v="15"/>
    <x v="1"/>
    <x v="0"/>
    <n v="25.558114062238335"/>
    <n v="294.42947399698562"/>
    <n v="500"/>
    <n v="1270"/>
    <n v="2064.4294739969855"/>
    <n v="5.111622812447667"/>
  </r>
  <r>
    <n v="5607"/>
    <n v="6665"/>
    <x v="102"/>
    <d v="2027-01-17T00:00:00"/>
    <s v="Cergy"/>
    <x v="1"/>
    <m/>
    <s v="Oui"/>
    <s v="542-YQB-50"/>
    <n v="10"/>
    <x v="2"/>
    <x v="1"/>
    <x v="1"/>
    <n v="57.50657668707499"/>
    <n v="683.75319680932171"/>
    <n v="500"/>
    <n v="1040"/>
    <n v="2223.7531968093217"/>
    <n v="13.629058674836774"/>
  </r>
  <r>
    <n v="3137"/>
    <n v="4125"/>
    <x v="103"/>
    <d v="2027-01-19T00:00:00"/>
    <s v="Pessac"/>
    <x v="1"/>
    <m/>
    <s v="Oui"/>
    <s v="QQ-716-IN"/>
    <n v="11"/>
    <x v="1"/>
    <x v="1"/>
    <x v="1"/>
    <n v="1014.985612721831"/>
    <n v="8190.933894665176"/>
    <n v="550"/>
    <n v="2156"/>
    <n v="10896.933894665177"/>
    <n v="165.44265487365843"/>
  </r>
  <r>
    <n v="8810"/>
    <n v="7717"/>
    <x v="103"/>
    <d v="2027-01-18T00:00:00"/>
    <s v="Sarcelles"/>
    <x v="1"/>
    <m/>
    <s v="Oui"/>
    <s v="542-YQB-50"/>
    <n v="10"/>
    <x v="10"/>
    <x v="1"/>
    <x v="1"/>
    <n v="29.145703495728728"/>
    <n v="245.40682343403589"/>
    <n v="500"/>
    <n v="1870"/>
    <n v="2615.4068234340357"/>
    <n v="6.907531728487708"/>
  </r>
  <r>
    <n v="8988"/>
    <n v="4687"/>
    <x v="103"/>
    <d v="2027-01-10T00:00:00"/>
    <s v="Levallois-Perret"/>
    <x v="1"/>
    <m/>
    <s v="Oui"/>
    <s v="575-EXN-41"/>
    <n v="4"/>
    <x v="5"/>
    <x v="2"/>
    <x v="0"/>
    <n v="10.227525426302542"/>
    <n v="86.729415615045554"/>
    <n v="200"/>
    <n v="792"/>
    <n v="1078.7294156150456"/>
    <n v="2.0455050852605083"/>
  </r>
  <r>
    <n v="5211"/>
    <n v="3850"/>
    <x v="104"/>
    <d v="2027-01-22T00:00:00"/>
    <s v="Saint-Denis"/>
    <x v="1"/>
    <m/>
    <s v="Non"/>
    <s v="542-YQB-50"/>
    <n v="11"/>
    <x v="14"/>
    <x v="2"/>
    <x v="3"/>
    <n v="15.26295174754731"/>
    <n v="180.40808965600922"/>
    <n v="825"/>
    <n v="1947"/>
    <n v="2701.056067242007"/>
    <n v="3.6173195641687124"/>
  </r>
  <r>
    <n v="4641"/>
    <n v="9437"/>
    <x v="105"/>
    <d v="2027-01-19T00:00:00"/>
    <s v="Nanterre"/>
    <x v="1"/>
    <m/>
    <s v="Oui"/>
    <s v="881-PXG-62"/>
    <n v="7"/>
    <x v="3"/>
    <x v="1"/>
    <x v="2"/>
    <n v="20.412162969195503"/>
    <n v="141.45628937652484"/>
    <n v="525"/>
    <n v="959"/>
    <n v="1625.4562893765249"/>
    <n v="3.653777171485995"/>
  </r>
  <r>
    <n v="4744"/>
    <n v="1309"/>
    <x v="105"/>
    <d v="2027-01-11T00:00:00"/>
    <s v="Rueil-Malmaison"/>
    <x v="1"/>
    <m/>
    <s v="Non"/>
    <s v="QF-109-TX"/>
    <n v="1"/>
    <x v="11"/>
    <x v="4"/>
    <x v="0"/>
    <n v="23.369681001270123"/>
    <n v="211.72930987150733"/>
    <n v="50"/>
    <n v="127"/>
    <n v="323.29698240363052"/>
    <n v="3.622300555196869"/>
  </r>
  <r>
    <n v="6423"/>
    <n v="8140"/>
    <x v="106"/>
    <d v="2027-01-25T00:00:00"/>
    <s v="Tourcoing"/>
    <x v="0"/>
    <n v="311.74"/>
    <s v="Oui"/>
    <m/>
    <n v="10"/>
    <x v="7"/>
    <x v="3"/>
    <x v="3"/>
    <n v="430.97127785734853"/>
    <n v="311.74"/>
    <n v="750"/>
    <n v="2090"/>
    <n v="3151.74"/>
    <n v="0.86194255571469702"/>
  </r>
  <r>
    <n v="4359"/>
    <n v="6665"/>
    <x v="106"/>
    <d v="2027-01-18T00:00:00"/>
    <s v="Cergy"/>
    <x v="1"/>
    <m/>
    <s v="Non"/>
    <s v="417-IHX-79"/>
    <n v="5"/>
    <x v="2"/>
    <x v="1"/>
    <x v="1"/>
    <n v="57.50657668707499"/>
    <n v="683.75319680932171"/>
    <n v="250"/>
    <n v="510"/>
    <n v="1210.3148976069913"/>
    <n v="11.788848220850374"/>
  </r>
  <r>
    <n v="4744"/>
    <n v="7371"/>
    <x v="107"/>
    <d v="2027-01-26T00:00:00"/>
    <s v="La Rochelle"/>
    <x v="0"/>
    <n v="212.89"/>
    <s v="Oui"/>
    <m/>
    <n v="10"/>
    <x v="4"/>
    <x v="2"/>
    <x v="3"/>
    <n v="800.05371112944306"/>
    <n v="212.89"/>
    <n v="750"/>
    <n v="1270"/>
    <n v="2232.89"/>
    <n v="1.600107422258886"/>
  </r>
  <r>
    <n v="3582"/>
    <n v="8140"/>
    <x v="108"/>
    <d v="2027-01-25T00:00:00"/>
    <s v="Charleville-Mézières"/>
    <x v="1"/>
    <m/>
    <s v="Oui"/>
    <s v="QQ-716-IN"/>
    <n v="6"/>
    <x v="7"/>
    <x v="3"/>
    <x v="3"/>
    <n v="401.30764654622021"/>
    <n v="3154.278101853291"/>
    <n v="300"/>
    <n v="504"/>
    <n v="3958.278101853291"/>
    <n v="65.413146387033891"/>
  </r>
  <r>
    <n v="3772"/>
    <n v="7371"/>
    <x v="108"/>
    <d v="2027-01-25T00:00:00"/>
    <s v="Lille"/>
    <x v="1"/>
    <m/>
    <s v="Non"/>
    <s v="006-BJC-20"/>
    <n v="6"/>
    <x v="4"/>
    <x v="2"/>
    <x v="3"/>
    <n v="406.67072652136744"/>
    <n v="3664.1032459575204"/>
    <n v="600"/>
    <n v="1230"/>
    <n v="4428.0774344681395"/>
    <n v="41.887084831700847"/>
  </r>
  <r>
    <n v="8810"/>
    <n v="4687"/>
    <x v="109"/>
    <d v="2027-01-19T00:00:00"/>
    <s v="Beauvais"/>
    <x v="1"/>
    <m/>
    <s v="Oui"/>
    <s v="QF-109-TX"/>
    <n v="1"/>
    <x v="5"/>
    <x v="2"/>
    <x v="0"/>
    <n v="132.76893959226709"/>
    <n v="1125.8806077424249"/>
    <n v="50"/>
    <n v="187"/>
    <n v="1362.8806077424249"/>
    <n v="20.579185636801398"/>
  </r>
  <r>
    <n v="7954"/>
    <n v="5674"/>
    <x v="110"/>
    <d v="2027-01-24T00:00:00"/>
    <s v="Chambéry"/>
    <x v="0"/>
    <n v="130.71"/>
    <s v="Non"/>
    <m/>
    <n v="0"/>
    <x v="15"/>
    <x v="1"/>
    <x v="0"/>
    <n v="907.84905035975316"/>
    <n v="130.71"/>
    <n v="0"/>
    <n v="115"/>
    <n v="213.0325"/>
    <n v="1.8156981007195063"/>
  </r>
  <r>
    <n v="4751"/>
    <n v="3987"/>
    <x v="111"/>
    <d v="2027-01-30T00:00:00"/>
    <s v="Aulnay-sous-Bois"/>
    <x v="1"/>
    <m/>
    <s v="Non"/>
    <s v="542-YQB-50"/>
    <n v="3"/>
    <x v="6"/>
    <x v="1"/>
    <x v="2"/>
    <n v="29.536377804270522"/>
    <n v="290.34259381597923"/>
    <n v="225"/>
    <n v="438"/>
    <n v="824.50694536198444"/>
    <n v="7.0001215396121133"/>
  </r>
  <r>
    <n v="5959"/>
    <n v="5674"/>
    <x v="112"/>
    <d v="2027-01-30T00:00:00"/>
    <s v="Troyes"/>
    <x v="0"/>
    <n v="274.13"/>
    <s v="Oui"/>
    <m/>
    <n v="2"/>
    <x v="15"/>
    <x v="1"/>
    <x v="0"/>
    <n v="286.21533622591346"/>
    <n v="274.13"/>
    <n v="100"/>
    <n v="396"/>
    <n v="770.13"/>
    <n v="0.57243067245182688"/>
  </r>
  <r>
    <n v="5211"/>
    <n v="3850"/>
    <x v="112"/>
    <d v="2027-02-02T00:00:00"/>
    <s v="Bordeaux"/>
    <x v="1"/>
    <m/>
    <s v="Non"/>
    <s v="881-PXG-62"/>
    <n v="4"/>
    <x v="14"/>
    <x v="2"/>
    <x v="3"/>
    <n v="994.80960070076435"/>
    <n v="11758.649480283035"/>
    <n v="400"/>
    <n v="708"/>
    <n v="9826.9871102122761"/>
    <n v="178.07091852543681"/>
  </r>
  <r>
    <n v="8988"/>
    <n v="2776"/>
    <x v="113"/>
    <d v="2027-02-06T00:00:00"/>
    <s v="Issy-les-Moulineaux"/>
    <x v="1"/>
    <m/>
    <s v="Oui"/>
    <s v="417-IHX-79"/>
    <n v="5"/>
    <x v="12"/>
    <x v="1"/>
    <x v="4"/>
    <n v="13.672243297167526"/>
    <n v="140.55066109488217"/>
    <n v="250"/>
    <n v="990"/>
    <n v="1380.5506610948821"/>
    <n v="2.8028098759193427"/>
  </r>
  <r>
    <n v="4641"/>
    <n v="4687"/>
    <x v="114"/>
    <d v="2027-02-02T00:00:00"/>
    <s v="Neuilly-sur-Seine"/>
    <x v="1"/>
    <m/>
    <s v="Non"/>
    <s v="542-YQB-50"/>
    <n v="1"/>
    <x v="5"/>
    <x v="2"/>
    <x v="0"/>
    <n v="11.430453806573089"/>
    <n v="96.9302482797398"/>
    <n v="50"/>
    <n v="137"/>
    <n v="247.19768620980486"/>
    <n v="2.7090175521578219"/>
  </r>
  <r>
    <n v="3137"/>
    <n v="2764"/>
    <x v="115"/>
    <d v="2027-02-07T00:00:00"/>
    <s v="Lille"/>
    <x v="0"/>
    <n v="159.71"/>
    <s v="Non"/>
    <m/>
    <n v="3"/>
    <x v="0"/>
    <x v="0"/>
    <x v="0"/>
    <n v="406.67072652136744"/>
    <n v="159.71"/>
    <n v="300"/>
    <n v="588"/>
    <n v="932.78250000000003"/>
    <n v="0.81334145304273486"/>
  </r>
  <r>
    <n v="7954"/>
    <n v="6665"/>
    <x v="116"/>
    <d v="2027-02-17T00:00:00"/>
    <s v="Besançon"/>
    <x v="0"/>
    <n v="238.88"/>
    <s v="Oui"/>
    <m/>
    <n v="10"/>
    <x v="2"/>
    <x v="1"/>
    <x v="1"/>
    <n v="655.05936385517475"/>
    <n v="238.88"/>
    <n v="750"/>
    <n v="1150"/>
    <n v="2138.88"/>
    <n v="1.3101187277103494"/>
  </r>
  <r>
    <n v="4751"/>
    <n v="9256"/>
    <x v="117"/>
    <d v="2027-02-20T00:00:00"/>
    <s v="Champigny-sur-Marne"/>
    <x v="1"/>
    <m/>
    <s v="Non"/>
    <s v="588-AHF-83"/>
    <n v="10"/>
    <x v="16"/>
    <x v="1"/>
    <x v="0"/>
    <n v="28.398104953178237"/>
    <n v="187.42749269097635"/>
    <n v="500"/>
    <n v="1460"/>
    <n v="1975.5706195182322"/>
    <n v="3.1237915448496061"/>
  </r>
  <r>
    <n v="4744"/>
    <n v="6665"/>
    <x v="117"/>
    <d v="2027-02-16T00:00:00"/>
    <s v="Roubaix"/>
    <x v="1"/>
    <m/>
    <s v="Oui"/>
    <s v="588-AHF-83"/>
    <n v="7"/>
    <x v="2"/>
    <x v="1"/>
    <x v="1"/>
    <n v="423.94716370353035"/>
    <n v="5040.7317764349764"/>
    <n v="525"/>
    <n v="889"/>
    <n v="6454.7317764349764"/>
    <n v="46.634188007388339"/>
  </r>
  <r>
    <n v="8810"/>
    <n v="7371"/>
    <x v="118"/>
    <d v="2027-02-16T00:00:00"/>
    <s v="Dunkerque"/>
    <x v="1"/>
    <m/>
    <s v="Oui"/>
    <s v="TZ-811-YW"/>
    <n v="7"/>
    <x v="4"/>
    <x v="2"/>
    <x v="3"/>
    <n v="482.30526134116178"/>
    <n v="4345.5704046838673"/>
    <n v="350"/>
    <n v="1309"/>
    <n v="6004.5704046838673"/>
    <n v="103.21332592700863"/>
  </r>
  <r>
    <n v="3137"/>
    <n v="4125"/>
    <x v="119"/>
    <d v="2027-02-14T00:00:00"/>
    <s v="Aulnay-sous-Bois"/>
    <x v="1"/>
    <m/>
    <s v="Oui"/>
    <s v="881-PXG-62"/>
    <n v="5"/>
    <x v="1"/>
    <x v="1"/>
    <x v="1"/>
    <n v="29.536377804270522"/>
    <n v="238.35856888046311"/>
    <n v="375"/>
    <n v="980"/>
    <n v="1593.3585688804631"/>
    <n v="5.2870116269644232"/>
  </r>
  <r>
    <n v="6423"/>
    <n v="9018"/>
    <x v="119"/>
    <d v="2027-02-14T00:00:00"/>
    <s v="Rueil-Malmaison"/>
    <x v="1"/>
    <m/>
    <s v="Oui"/>
    <s v="QF-109-TX"/>
    <n v="5"/>
    <x v="9"/>
    <x v="3"/>
    <x v="3"/>
    <n v="23.369681001270123"/>
    <n v="148.16377754805259"/>
    <n v="250"/>
    <n v="1045"/>
    <n v="1443.1637775480526"/>
    <n v="3.622300555196869"/>
  </r>
  <r>
    <n v="5607"/>
    <n v="9018"/>
    <x v="120"/>
    <d v="2027-02-25T00:00:00"/>
    <s v="Villeneuve-d'Ascq"/>
    <x v="1"/>
    <m/>
    <s v="Non"/>
    <s v="QF-109-TX"/>
    <n v="10"/>
    <x v="9"/>
    <x v="3"/>
    <x v="3"/>
    <n v="410.92880972718422"/>
    <n v="2605.2886536703477"/>
    <n v="500"/>
    <n v="1040"/>
    <n v="3368.9664902527607"/>
    <n v="63.693965507713557"/>
  </r>
  <r>
    <n v="4359"/>
    <n v="9256"/>
    <x v="121"/>
    <d v="2027-02-21T00:00:00"/>
    <s v="Lille"/>
    <x v="0"/>
    <n v="235.17"/>
    <s v="Oui"/>
    <m/>
    <n v="5"/>
    <x v="16"/>
    <x v="1"/>
    <x v="0"/>
    <n v="406.67072652136744"/>
    <n v="235.17"/>
    <n v="500"/>
    <n v="510"/>
    <n v="1245.17"/>
    <n v="0.81334145304273486"/>
  </r>
  <r>
    <n v="3582"/>
    <n v="9018"/>
    <x v="122"/>
    <d v="2027-03-01T00:00:00"/>
    <s v="Tourcoing"/>
    <x v="0"/>
    <n v="142.53"/>
    <s v="Non"/>
    <m/>
    <n v="11"/>
    <x v="9"/>
    <x v="3"/>
    <x v="3"/>
    <n v="430.97127785734853"/>
    <n v="142.53"/>
    <n v="825"/>
    <n v="924"/>
    <n v="1649.6475"/>
    <n v="0.86194255571469702"/>
  </r>
  <r>
    <n v="4641"/>
    <n v="4641"/>
    <x v="123"/>
    <d v="2027-02-24T00:00:00"/>
    <s v="Mulhouse"/>
    <x v="0"/>
    <n v="136.96"/>
    <s v="Oui"/>
    <m/>
    <n v="7"/>
    <x v="8"/>
    <x v="3"/>
    <x v="0"/>
    <n v="780.40222970796981"/>
    <n v="136.96"/>
    <n v="525"/>
    <n v="959"/>
    <n v="1620.96"/>
    <n v="1.5608044594159396"/>
  </r>
  <r>
    <n v="3772"/>
    <n v="7717"/>
    <x v="124"/>
    <d v="2027-02-26T00:00:00"/>
    <s v="Lorient"/>
    <x v="1"/>
    <m/>
    <s v="Non"/>
    <s v="881-PXG-62"/>
    <n v="7"/>
    <x v="10"/>
    <x v="1"/>
    <x v="1"/>
    <n v="882.95296153169909"/>
    <n v="7434.4639360969059"/>
    <n v="350"/>
    <n v="1435"/>
    <n v="7273.3479520726796"/>
    <n v="158.04858011417414"/>
  </r>
  <r>
    <n v="6423"/>
    <n v="8140"/>
    <x v="125"/>
    <d v="2027-02-28T00:00:00"/>
    <s v="Saint-Malo"/>
    <x v="1"/>
    <m/>
    <s v="Non"/>
    <s v="765-JSQ-81"/>
    <n v="6"/>
    <x v="7"/>
    <x v="3"/>
    <x v="3"/>
    <n v="636.73007282548701"/>
    <n v="5004.6983724083284"/>
    <n v="300"/>
    <n v="1254"/>
    <n v="5232.5237793062461"/>
    <n v="188.47210155634417"/>
  </r>
  <r>
    <n v="5959"/>
    <n v="2776"/>
    <x v="126"/>
    <d v="2027-02-22T00:00:00"/>
    <s v="Nanterre"/>
    <x v="1"/>
    <m/>
    <s v="Oui"/>
    <s v="588-AHF-83"/>
    <n v="1"/>
    <x v="12"/>
    <x v="1"/>
    <x v="4"/>
    <n v="20.412162969195503"/>
    <n v="209.83703532332976"/>
    <n v="75"/>
    <n v="198"/>
    <n v="482.83703532332976"/>
    <n v="2.2453379266115054"/>
  </r>
  <r>
    <n v="5211"/>
    <n v="9437"/>
    <x v="126"/>
    <d v="2027-03-01T00:00:00"/>
    <s v="Saint-Étienne"/>
    <x v="1"/>
    <m/>
    <s v="Non"/>
    <s v="417-IHX-79"/>
    <n v="6"/>
    <x v="3"/>
    <x v="1"/>
    <x v="2"/>
    <n v="823.6419507241809"/>
    <n v="5707.8387185185738"/>
    <n v="600"/>
    <n v="1062"/>
    <n v="5792.8790388889302"/>
    <n v="168.8465998984571"/>
  </r>
  <r>
    <n v="8988"/>
    <n v="4641"/>
    <x v="127"/>
    <d v="2027-02-26T00:00:00"/>
    <s v="Avignon"/>
    <x v="1"/>
    <m/>
    <s v="Oui"/>
    <s v="TZ-811-YW"/>
    <n v="5"/>
    <x v="8"/>
    <x v="3"/>
    <x v="0"/>
    <n v="1161.0252128104009"/>
    <n v="13328.569443063403"/>
    <n v="375"/>
    <n v="990"/>
    <n v="14693.569443063403"/>
    <n v="248.45939554142581"/>
  </r>
  <r>
    <n v="4359"/>
    <n v="4687"/>
    <x v="128"/>
    <d v="2027-03-04T00:00:00"/>
    <s v="Maisons-Alfort"/>
    <x v="1"/>
    <m/>
    <s v="Non"/>
    <s v="TZ-811-YW"/>
    <n v="8"/>
    <x v="5"/>
    <x v="2"/>
    <x v="0"/>
    <n v="19.500215685582329"/>
    <n v="165.36182901373817"/>
    <n v="400"/>
    <n v="816"/>
    <n v="1240.0213717603037"/>
    <n v="4.1730461567146184"/>
  </r>
  <r>
    <n v="4744"/>
    <n v="4641"/>
    <x v="129"/>
    <d v="2027-03-14T00:00:00"/>
    <s v="Villeurbanne"/>
    <x v="0"/>
    <n v="222.73"/>
    <s v="Oui"/>
    <m/>
    <n v="8"/>
    <x v="8"/>
    <x v="3"/>
    <x v="0"/>
    <n v="788.28427562019067"/>
    <n v="222.73"/>
    <n v="600"/>
    <n v="1016"/>
    <n v="1838.73"/>
    <n v="1.5765685512403813"/>
  </r>
  <r>
    <n v="4641"/>
    <n v="3850"/>
    <x v="130"/>
    <d v="2027-03-14T00:00:00"/>
    <s v="Tourcoing"/>
    <x v="1"/>
    <m/>
    <s v="Oui"/>
    <s v="QF-109-TX"/>
    <n v="5"/>
    <x v="14"/>
    <x v="2"/>
    <x v="3"/>
    <n v="430.97127785734853"/>
    <n v="5094.0805042738593"/>
    <n v="375"/>
    <n v="685"/>
    <n v="6154.0805042738593"/>
    <n v="66.800548067889011"/>
  </r>
  <r>
    <n v="3137"/>
    <n v="6665"/>
    <x v="131"/>
    <d v="2027-03-11T00:00:00"/>
    <s v="Maisons-Alfort"/>
    <x v="1"/>
    <m/>
    <s v="Oui"/>
    <s v="588-AHF-83"/>
    <n v="3"/>
    <x v="2"/>
    <x v="1"/>
    <x v="1"/>
    <n v="19.500215685582329"/>
    <n v="231.8575645015739"/>
    <n v="150"/>
    <n v="588"/>
    <n v="969.85756450157396"/>
    <n v="2.1450237254140561"/>
  </r>
  <r>
    <n v="5959"/>
    <n v="4687"/>
    <x v="132"/>
    <d v="2027-03-22T00:00:00"/>
    <s v="Bordeaux"/>
    <x v="1"/>
    <m/>
    <s v="Oui"/>
    <s v="765-JSQ-81"/>
    <n v="8"/>
    <x v="5"/>
    <x v="2"/>
    <x v="0"/>
    <n v="994.80960070076435"/>
    <n v="8435.9854139424824"/>
    <n v="800"/>
    <n v="1584"/>
    <n v="10819.985413942482"/>
    <n v="294.46364180742626"/>
  </r>
  <r>
    <n v="8810"/>
    <n v="7717"/>
    <x v="132"/>
    <d v="2027-03-20T00:00:00"/>
    <s v="Valence"/>
    <x v="0"/>
    <n v="284.07"/>
    <s v="Non"/>
    <m/>
    <n v="7"/>
    <x v="10"/>
    <x v="1"/>
    <x v="1"/>
    <n v="959.88687124935257"/>
    <n v="284.07"/>
    <n v="350"/>
    <n v="1309"/>
    <n v="1784.5525"/>
    <n v="1.9197737424987051"/>
  </r>
  <r>
    <n v="6423"/>
    <n v="7371"/>
    <x v="133"/>
    <d v="2027-03-26T00:00:00"/>
    <s v="Neuilly-sur-Seine"/>
    <x v="1"/>
    <m/>
    <s v="Non"/>
    <s v="006-BJC-20"/>
    <n v="11"/>
    <x v="4"/>
    <x v="2"/>
    <x v="3"/>
    <n v="11.430453806573089"/>
    <n v="102.98838879722354"/>
    <n v="550"/>
    <n v="2299"/>
    <n v="2788.7412915979176"/>
    <n v="1.1773367420770282"/>
  </r>
  <r>
    <n v="5607"/>
    <n v="1309"/>
    <x v="133"/>
    <d v="2027-03-21T00:00:00"/>
    <s v="Béziers"/>
    <x v="1"/>
    <m/>
    <s v="Non"/>
    <s v="575-EXN-41"/>
    <n v="6"/>
    <x v="11"/>
    <x v="4"/>
    <x v="0"/>
    <n v="1233.7826267272476"/>
    <n v="11178.070598148865"/>
    <n v="300"/>
    <n v="624"/>
    <n v="9232.5529486116484"/>
    <n v="246.75652534544952"/>
  </r>
  <r>
    <n v="3772"/>
    <n v="7717"/>
    <x v="134"/>
    <d v="2027-03-16T00:00:00"/>
    <s v="Le Mans"/>
    <x v="1"/>
    <m/>
    <s v="Oui"/>
    <s v="TZ-811-YW"/>
    <n v="1"/>
    <x v="10"/>
    <x v="1"/>
    <x v="1"/>
    <n v="371.16328358772228"/>
    <n v="3125.1948478086215"/>
    <n v="75"/>
    <n v="205"/>
    <n v="3405.1948478086215"/>
    <n v="79.428942687772562"/>
  </r>
  <r>
    <n v="8810"/>
    <n v="3394"/>
    <x v="135"/>
    <d v="2027-03-30T00:00:00"/>
    <s v="Clermont-Ferrand"/>
    <x v="1"/>
    <m/>
    <s v="Non"/>
    <s v="588-AHF-83"/>
    <n v="5"/>
    <x v="13"/>
    <x v="0"/>
    <x v="2"/>
    <n v="694.23863342015648"/>
    <n v="5894.0859977371283"/>
    <n v="375"/>
    <n v="935"/>
    <n v="5636.814498302846"/>
    <n v="76.366249676217208"/>
  </r>
  <r>
    <n v="5607"/>
    <n v="7371"/>
    <x v="136"/>
    <d v="2027-03-29T00:00:00"/>
    <s v="Metz"/>
    <x v="0"/>
    <n v="102.55"/>
    <s v="Non"/>
    <m/>
    <n v="2"/>
    <x v="4"/>
    <x v="2"/>
    <x v="3"/>
    <n v="567.5087752446691"/>
    <n v="102.55"/>
    <n v="150"/>
    <n v="208"/>
    <n v="397.41250000000002"/>
    <n v="1.1350175504893383"/>
  </r>
  <r>
    <n v="3582"/>
    <n v="4641"/>
    <x v="137"/>
    <d v="2027-04-09T00:00:00"/>
    <s v="Caen"/>
    <x v="1"/>
    <m/>
    <s v="Oui"/>
    <s v="881-PXG-62"/>
    <n v="9"/>
    <x v="8"/>
    <x v="3"/>
    <x v="0"/>
    <n v="402.24192193177629"/>
    <n v="4617.7372637767921"/>
    <n v="675"/>
    <n v="756"/>
    <n v="6048.7372637767921"/>
    <n v="72.00130402578796"/>
  </r>
  <r>
    <n v="3772"/>
    <n v="3987"/>
    <x v="138"/>
    <d v="2027-04-07T00:00:00"/>
    <s v="Cannes"/>
    <x v="0"/>
    <n v="275.07"/>
    <s v="Non"/>
    <m/>
    <n v="7"/>
    <x v="6"/>
    <x v="1"/>
    <x v="2"/>
    <n v="1382.3441482382368"/>
    <n v="275.07"/>
    <n v="350"/>
    <n v="1435"/>
    <n v="1903.8025"/>
    <n v="2.7646882964764736"/>
  </r>
  <r>
    <n v="5211"/>
    <n v="7717"/>
    <x v="139"/>
    <d v="2027-04-04T00:00:00"/>
    <s v="Béziers"/>
    <x v="0"/>
    <n v="306.04000000000002"/>
    <s v="Oui"/>
    <m/>
    <n v="4"/>
    <x v="10"/>
    <x v="1"/>
    <x v="1"/>
    <n v="1233.7826267272476"/>
    <n v="306.04000000000002"/>
    <n v="200"/>
    <n v="708"/>
    <n v="1214.04"/>
    <n v="2.4675652534544952"/>
  </r>
  <r>
    <n v="3137"/>
    <n v="2776"/>
    <x v="140"/>
    <d v="2027-04-14T00:00:00"/>
    <s v="Amiens"/>
    <x v="1"/>
    <m/>
    <s v="Non"/>
    <s v="765-JSQ-81"/>
    <n v="7"/>
    <x v="12"/>
    <x v="1"/>
    <x v="4"/>
    <n v="231.0560317820871"/>
    <n v="2375.2560067198551"/>
    <n v="525"/>
    <n v="1372"/>
    <n v="3547.1920050398912"/>
    <n v="68.392585407497776"/>
  </r>
  <r>
    <n v="5959"/>
    <n v="4641"/>
    <x v="141"/>
    <d v="2027-04-10T00:00:00"/>
    <s v="Boulogne-Billancourt"/>
    <x v="1"/>
    <m/>
    <s v="Oui"/>
    <s v="765-JSQ-81"/>
    <n v="2"/>
    <x v="8"/>
    <x v="3"/>
    <x v="0"/>
    <n v="15.392820720650741"/>
    <n v="176.7095818730705"/>
    <n v="150"/>
    <n v="396"/>
    <n v="722.70958187307053"/>
    <n v="4.5562749333126193"/>
  </r>
  <r>
    <n v="4641"/>
    <n v="3987"/>
    <x v="142"/>
    <d v="2027-04-21T00:00:00"/>
    <s v="Metz"/>
    <x v="0"/>
    <n v="178.93"/>
    <s v="Oui"/>
    <m/>
    <n v="9"/>
    <x v="6"/>
    <x v="1"/>
    <x v="2"/>
    <n v="567.5087752446691"/>
    <n v="178.93"/>
    <n v="675"/>
    <n v="1233"/>
    <n v="2086.9300000000003"/>
    <n v="1.1350175504893383"/>
  </r>
  <r>
    <n v="5211"/>
    <n v="6665"/>
    <x v="143"/>
    <d v="2027-04-27T00:00:00"/>
    <s v="Ajaccio"/>
    <x v="1"/>
    <m/>
    <s v="Oui"/>
    <s v="TZ-811-YW"/>
    <n v="12"/>
    <x v="2"/>
    <x v="1"/>
    <x v="1"/>
    <n v="1832.8525093398346"/>
    <n v="21792.616336050633"/>
    <n v="600"/>
    <n v="2124"/>
    <n v="24516.616336050633"/>
    <n v="392.2304369987246"/>
  </r>
  <r>
    <n v="3137"/>
    <n v="5674"/>
    <x v="144"/>
    <d v="2027-04-24T00:00:00"/>
    <s v="Charleville-Mézières"/>
    <x v="0"/>
    <n v="238.93"/>
    <s v="Oui"/>
    <m/>
    <n v="5"/>
    <x v="15"/>
    <x v="1"/>
    <x v="0"/>
    <n v="401.30764654622021"/>
    <n v="238.93"/>
    <n v="250"/>
    <n v="980"/>
    <n v="1468.93"/>
    <n v="0.8026152930924404"/>
  </r>
  <r>
    <n v="3772"/>
    <n v="6665"/>
    <x v="145"/>
    <d v="2027-04-22T00:00:00"/>
    <s v="Rouen"/>
    <x v="0"/>
    <n v="273.37"/>
    <s v="Oui"/>
    <m/>
    <n v="4"/>
    <x v="2"/>
    <x v="1"/>
    <x v="1"/>
    <n v="222.4714022436518"/>
    <n v="273.37"/>
    <n v="300"/>
    <n v="820"/>
    <n v="1393.37"/>
    <n v="0.44494280448730361"/>
  </r>
  <r>
    <n v="5959"/>
    <n v="3394"/>
    <x v="146"/>
    <d v="2027-04-30T00:00:00"/>
    <s v="La Rochelle"/>
    <x v="1"/>
    <m/>
    <s v="Non"/>
    <s v="765-JSQ-81"/>
    <n v="9"/>
    <x v="13"/>
    <x v="0"/>
    <x v="2"/>
    <n v="800.05371112944306"/>
    <n v="6792.4560074889714"/>
    <n v="675"/>
    <n v="1782"/>
    <n v="7382.5920056167288"/>
    <n v="236.81589849431515"/>
  </r>
  <r>
    <n v="6423"/>
    <n v="7717"/>
    <x v="147"/>
    <d v="2027-04-28T00:00:00"/>
    <s v="Beauvais"/>
    <x v="1"/>
    <m/>
    <s v="Non"/>
    <s v="542-YQB-50"/>
    <n v="6"/>
    <x v="10"/>
    <x v="1"/>
    <x v="1"/>
    <n v="132.76893959226709"/>
    <n v="1117.9144713668888"/>
    <n v="300"/>
    <n v="1254"/>
    <n v="2317.4358535251667"/>
    <n v="31.466238683367301"/>
  </r>
  <r>
    <n v="3772"/>
    <n v="9256"/>
    <x v="148"/>
    <d v="2027-05-04T00:00:00"/>
    <s v="Charleville-Mézières"/>
    <x v="1"/>
    <m/>
    <s v="Oui"/>
    <s v="006-BJC-20"/>
    <n v="8"/>
    <x v="16"/>
    <x v="1"/>
    <x v="0"/>
    <n v="401.30764654622021"/>
    <n v="2648.6304672050533"/>
    <n v="400"/>
    <n v="1640"/>
    <n v="4688.6304672050537"/>
    <n v="41.334687594260679"/>
  </r>
  <r>
    <n v="4641"/>
    <n v="4687"/>
    <x v="149"/>
    <d v="2027-05-13T00:00:00"/>
    <s v="Champigny-sur-Marne"/>
    <x v="1"/>
    <m/>
    <s v="Non"/>
    <s v="417-IHX-79"/>
    <n v="4"/>
    <x v="5"/>
    <x v="2"/>
    <x v="0"/>
    <n v="28.398104953178237"/>
    <n v="240.81593000295146"/>
    <n v="200"/>
    <n v="548"/>
    <n v="878.61194750221352"/>
    <n v="5.8216115154015391"/>
  </r>
  <r>
    <n v="5211"/>
    <n v="7717"/>
    <x v="150"/>
    <d v="2027-05-18T00:00:00"/>
    <s v="Brest"/>
    <x v="0"/>
    <n v="304.06"/>
    <s v="Oui"/>
    <m/>
    <n v="1"/>
    <x v="10"/>
    <x v="1"/>
    <x v="1"/>
    <n v="1013.0939437165396"/>
    <n v="304.06"/>
    <n v="75"/>
    <n v="177"/>
    <n v="556.05999999999995"/>
    <n v="2.0261878874330792"/>
  </r>
  <r>
    <n v="4641"/>
    <n v="3850"/>
    <x v="151"/>
    <d v="2027-05-21T00:00:00"/>
    <s v="Asnières-sur-Seine"/>
    <x v="1"/>
    <m/>
    <s v="Oui"/>
    <s v="QF-109-TX"/>
    <n v="2"/>
    <x v="14"/>
    <x v="2"/>
    <x v="3"/>
    <n v="13.696592603477637"/>
    <n v="161.89372457310566"/>
    <n v="150"/>
    <n v="274"/>
    <n v="585.8937245731056"/>
    <n v="2.1229718535390338"/>
  </r>
  <r>
    <n v="5959"/>
    <n v="5674"/>
    <x v="152"/>
    <d v="2027-06-04T00:00:00"/>
    <s v="Aubervilliers"/>
    <x v="1"/>
    <m/>
    <s v="Oui"/>
    <s v="542-YQB-50"/>
    <n v="7"/>
    <x v="15"/>
    <x v="1"/>
    <x v="0"/>
    <n v="13.088746396149698"/>
    <n v="150.78235848364451"/>
    <n v="350"/>
    <n v="1386"/>
    <n v="1886.7823584836447"/>
    <n v="3.1020328958874783"/>
  </r>
  <r>
    <n v="5211"/>
    <n v="7371"/>
    <x v="152"/>
    <d v="2027-06-09T00:00:00"/>
    <s v="Le Havre"/>
    <x v="1"/>
    <m/>
    <s v="Oui"/>
    <s v="881-PXG-62"/>
    <n v="10"/>
    <x v="4"/>
    <x v="2"/>
    <x v="3"/>
    <n v="350.04851397456957"/>
    <n v="3153.937110910872"/>
    <n v="1000"/>
    <n v="1770"/>
    <n v="5923.9371109108724"/>
    <n v="62.658684001447952"/>
  </r>
  <r>
    <n v="5211"/>
    <n v="1309"/>
    <x v="153"/>
    <d v="2027-06-23T00:00:00"/>
    <s v="Aix-en-Provence"/>
    <x v="0"/>
    <n v="100.92"/>
    <s v="Non"/>
    <m/>
    <n v="3"/>
    <x v="11"/>
    <x v="4"/>
    <x v="0"/>
    <n v="1274.7395363740186"/>
    <n v="100.92"/>
    <n v="225"/>
    <n v="531"/>
    <n v="775.44"/>
    <n v="2.5494790727480372"/>
  </r>
  <r>
    <n v="5959"/>
    <n v="2764"/>
    <x v="154"/>
    <d v="2027-06-24T00:00:00"/>
    <s v="Dijon"/>
    <x v="1"/>
    <m/>
    <s v="Non"/>
    <s v="TZ-811-YW"/>
    <n v="1"/>
    <x v="0"/>
    <x v="0"/>
    <x v="0"/>
    <n v="528.37078515457438"/>
    <n v="3714.4466196366579"/>
    <n v="100"/>
    <n v="198"/>
    <n v="3058.8349647274936"/>
    <n v="113.0713480230789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4F36875-7A45-2D40-B15B-F1F8D73803F9}" name="Tableau croisé dynamique3" cacheId="0" applyNumberFormats="0" applyBorderFormats="0" applyFontFormats="0" applyPatternFormats="0" applyAlignmentFormats="0" applyWidthHeightFormats="1" dataCaption="Valeurs" updatedVersion="8" minRefreshableVersion="3" useAutoFormatting="1" itemPrintTitles="1" createdVersion="8" indent="0" outline="1" outlineData="1" multipleFieldFilters="0" rowHeaderCaption="Domaines">
  <location ref="A3:E10" firstHeaderRow="0" firstDataRow="1" firstDataCol="1"/>
  <pivotFields count="4">
    <pivotField dataField="1" showAll="0"/>
    <pivotField axis="axisRow" showAll="0">
      <items count="7">
        <item x="0"/>
        <item x="4"/>
        <item x="3"/>
        <item x="2"/>
        <item x="1"/>
        <item x="5"/>
        <item t="default"/>
      </items>
    </pivotField>
    <pivotField dataField="1" showAll="0"/>
    <pivotField dataField="1" showAll="0"/>
  </pivotFields>
  <rowFields count="1">
    <field x="1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Moyenne âge " fld="2" subtotal="average" baseField="0" baseItem="0" numFmtId="2"/>
    <dataField name="Nbr consultant" fld="0" subtotal="count" baseField="0" baseItem="0"/>
    <dataField name="% Total" fld="0" subtotal="count" showDataAs="percentOfTotal" baseField="0" baseItem="0" numFmtId="10"/>
    <dataField name="Somme Jours Ouvr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8FF7A6F-48A1-754F-BE6A-F98B52BA423E}" name="Tableau croisé dynamique2" cacheId="12" applyNumberFormats="0" applyBorderFormats="0" applyFontFormats="0" applyPatternFormats="0" applyAlignmentFormats="0" applyWidthHeightFormats="1" dataCaption="Valeurs" updatedVersion="8" minRefreshableVersion="5" useAutoFormatting="1" itemPrintTitles="1" createdVersion="8" indent="0" outline="1" outlineData="1" multipleFieldFilters="0" rowHeaderCaption="Projets">
  <location ref="I1:L17" firstHeaderRow="0" firstDataRow="1" firstDataCol="1"/>
  <pivotFields count="19">
    <pivotField showAll="0"/>
    <pivotField showAll="0"/>
    <pivotField numFmtId="14" showAl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t="default"/>
      </items>
    </pivotField>
    <pivotField numFmtId="14" showAll="0"/>
    <pivotField showAll="0"/>
    <pivotField showAll="0">
      <items count="3">
        <item x="0"/>
        <item x="1"/>
        <item t="default"/>
      </items>
    </pivotField>
    <pivotField showAll="0"/>
    <pivotField showAll="0"/>
    <pivotField showAll="0"/>
    <pivotField showAll="0"/>
    <pivotField axis="axisRow" showAll="0">
      <items count="18">
        <item x="1"/>
        <item x="10"/>
        <item x="11"/>
        <item x="8"/>
        <item x="7"/>
        <item x="12"/>
        <item x="3"/>
        <item x="6"/>
        <item x="14"/>
        <item x="4"/>
        <item x="16"/>
        <item x="0"/>
        <item x="5"/>
        <item x="13"/>
        <item x="9"/>
        <item x="2"/>
        <item x="15"/>
        <item t="default"/>
      </items>
    </pivotField>
    <pivotField showAll="0">
      <items count="6">
        <item x="2"/>
        <item x="1"/>
        <item x="4"/>
        <item x="3"/>
        <item x="0"/>
        <item t="default"/>
      </items>
    </pivotField>
    <pivotField showAll="0"/>
    <pivotField numFmtId="2" showAll="0"/>
    <pivotField dataField="1" numFmtId="44" showAll="0"/>
    <pivotField dataField="1" numFmtId="44" showAll="0"/>
    <pivotField dataField="1" numFmtId="44" showAll="0"/>
    <pivotField numFmtId="44" showAll="0"/>
    <pivotField numFmtId="2" showAll="0"/>
  </pivotFields>
  <rowFields count="1">
    <field x="10"/>
  </rowFields>
  <rowItems count="1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1"/>
    </i>
    <i>
      <x v="12"/>
    </i>
    <i>
      <x v="13"/>
    </i>
    <i>
      <x v="14"/>
    </i>
    <i>
      <x v="15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omme de Frais Transport" fld="14" baseField="0" baseItem="0" numFmtId="44"/>
    <dataField name="Somme de Frais Hébergement" fld="15" baseField="0" baseItem="0" numFmtId="44"/>
    <dataField name="Somme de Coût forfait" fld="16" baseField="0" baseItem="0" numFmtId="44"/>
  </dataFields>
  <formats count="6">
    <format dxfId="27">
      <pivotArea type="all" dataOnly="0" outline="0" fieldPosition="0"/>
    </format>
    <format dxfId="26">
      <pivotArea outline="0" collapsedLevelsAreSubtotals="1" fieldPosition="0"/>
    </format>
    <format dxfId="25">
      <pivotArea field="10" type="button" dataOnly="0" labelOnly="1" outline="0" axis="axisRow" fieldPosition="0"/>
    </format>
    <format dxfId="24">
      <pivotArea dataOnly="0" labelOnly="1" fieldPosition="0">
        <references count="1">
          <reference field="10" count="15">
            <x v="0"/>
            <x v="1"/>
            <x v="2"/>
            <x v="3"/>
            <x v="4"/>
            <x v="5"/>
            <x v="6"/>
            <x v="7"/>
            <x v="8"/>
            <x v="9"/>
            <x v="11"/>
            <x v="12"/>
            <x v="13"/>
            <x v="14"/>
            <x v="15"/>
          </reference>
        </references>
      </pivotArea>
    </format>
    <format dxfId="23">
      <pivotArea dataOnly="0" labelOnly="1" grandRow="1" outline="0" fieldPosition="0"/>
    </format>
    <format dxfId="22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</formats>
  <pivotTableStyleInfo name="PivotStyleLight8" showRowHeaders="1" showColHeaders="1" showRowStripes="0" showColStripes="0" showLastColumn="1"/>
  <filters count="1">
    <filter fld="2" type="dateBetween" evalOrder="-1" id="12" name="Date Début">
      <autoFilter ref="A1">
        <filterColumn colId="0">
          <customFilters and="1">
            <customFilter operator="greaterThanOrEqual" val="46204"/>
            <customFilter operator="lessThanOrEqual" val="46265"/>
          </customFilters>
        </filterColumn>
      </autoFilter>
      <extLst>
        <ext xmlns:x15="http://schemas.microsoft.com/office/spreadsheetml/2010/11/main" uri="{0605FD5F-26C8-4aeb-8148-2DB25E43C511}">
          <x15:pivotFilter useWholeDay="1"/>
        </ext>
      </extLst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ED5CC90-DEA3-9545-88E4-00718F7CA782}" name="Tableau croisé dynamique6" cacheId="12" applyNumberFormats="0" applyBorderFormats="0" applyFontFormats="0" applyPatternFormats="0" applyAlignmentFormats="0" applyWidthHeightFormats="1" dataCaption="Valeurs" updatedVersion="8" minRefreshableVersion="3" itemPrintTitles="1" createdVersion="8" indent="0" outline="1" outlineData="1" multipleFieldFilters="0" rowHeaderCaption="Clients">
  <location ref="A1:B7" firstHeaderRow="1" firstDataRow="1" firstDataCol="1"/>
  <pivotFields count="19">
    <pivotField showAll="0"/>
    <pivotField showAll="0"/>
    <pivotField numFmtId="14" showAll="0"/>
    <pivotField numFmtId="14"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axis="axisRow" showAll="0">
      <items count="6">
        <item x="0"/>
        <item x="2"/>
        <item x="4"/>
        <item x="1"/>
        <item x="3"/>
        <item t="default"/>
      </items>
    </pivotField>
    <pivotField numFmtId="2" showAll="0"/>
    <pivotField numFmtId="44" showAll="0"/>
    <pivotField numFmtId="44" showAll="0"/>
    <pivotField numFmtId="44" showAll="0"/>
    <pivotField numFmtId="44" showAll="0"/>
    <pivotField numFmtId="2" showAll="0"/>
  </pivotFields>
  <rowFields count="1">
    <field x="12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Nbr Deplacements" fld="10" subtotal="count" baseField="0" baseItem="0"/>
  </dataFields>
  <formats count="6">
    <format dxfId="21">
      <pivotArea type="all" dataOnly="0" outline="0" fieldPosition="0"/>
    </format>
    <format dxfId="20">
      <pivotArea outline="0" collapsedLevelsAreSubtotals="1" fieldPosition="0"/>
    </format>
    <format dxfId="19">
      <pivotArea field="12" type="button" dataOnly="0" labelOnly="1" outline="0" axis="axisRow" fieldPosition="0"/>
    </format>
    <format dxfId="18">
      <pivotArea dataOnly="0" labelOnly="1" fieldPosition="0">
        <references count="1">
          <reference field="12" count="0"/>
        </references>
      </pivotArea>
    </format>
    <format dxfId="17">
      <pivotArea dataOnly="0" labelOnly="1" grandRow="1" outline="0" fieldPosition="0"/>
    </format>
    <format dxfId="16">
      <pivotArea dataOnly="0" labelOnly="1" outline="0" axis="axisValues" fieldPosition="0"/>
    </format>
  </formats>
  <pivotTableStyleInfo name="PivotStyleLight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6C437D7-A3CD-DB4F-86A6-E71F2D54B9D3}" name="Tableau croisé dynamique8" cacheId="12" applyNumberFormats="0" applyBorderFormats="0" applyFontFormats="0" applyPatternFormats="0" applyAlignmentFormats="0" applyWidthHeightFormats="1" dataCaption="Valeurs" updatedVersion="8" minRefreshableVersion="3" rowGrandTotals="0" colGrandTotals="0" itemPrintTitles="1" createdVersion="8" indent="0" outline="1" outlineData="1" multipleFieldFilters="0" rowHeaderCaption="Clients" colHeaderCaption="Domaines">
  <location ref="A15:F21" firstHeaderRow="1" firstDataRow="2" firstDataCol="1"/>
  <pivotFields count="19">
    <pivotField showAll="0"/>
    <pivotField showAll="0"/>
    <pivotField numFmtId="14" showAll="0"/>
    <pivotField numFmtId="14" showAll="0"/>
    <pivotField showAll="0"/>
    <pivotField showAll="0"/>
    <pivotField showAll="0"/>
    <pivotField showAll="0"/>
    <pivotField showAll="0"/>
    <pivotField showAll="0"/>
    <pivotField dataField="1" showAll="0"/>
    <pivotField axis="axisCol" showAll="0">
      <items count="6">
        <item x="2"/>
        <item x="1"/>
        <item x="4"/>
        <item x="3"/>
        <item x="0"/>
        <item t="default"/>
      </items>
    </pivotField>
    <pivotField axis="axisRow" showAll="0">
      <items count="6">
        <item x="0"/>
        <item x="2"/>
        <item x="4"/>
        <item x="1"/>
        <item x="3"/>
        <item t="default"/>
      </items>
    </pivotField>
    <pivotField numFmtId="2" showAll="0"/>
    <pivotField numFmtId="44" showAll="0"/>
    <pivotField numFmtId="44" showAll="0"/>
    <pivotField numFmtId="44" showAll="0"/>
    <pivotField numFmtId="44" showAll="0"/>
    <pivotField numFmtId="2" showAll="0"/>
  </pivotFields>
  <rowFields count="1">
    <field x="12"/>
  </rowFields>
  <rowItems count="5">
    <i>
      <x/>
    </i>
    <i>
      <x v="1"/>
    </i>
    <i>
      <x v="2"/>
    </i>
    <i>
      <x v="3"/>
    </i>
    <i>
      <x v="4"/>
    </i>
  </rowItems>
  <colFields count="1">
    <field x="11"/>
  </colFields>
  <colItems count="5">
    <i>
      <x/>
    </i>
    <i>
      <x v="1"/>
    </i>
    <i>
      <x v="2"/>
    </i>
    <i>
      <x v="3"/>
    </i>
    <i>
      <x v="4"/>
    </i>
  </colItems>
  <dataFields count="1">
    <dataField name="Nbr Deplacements" fld="10" subtotal="count" baseField="0" baseItem="0"/>
  </dataFields>
  <formats count="8">
    <format dxfId="14">
      <pivotArea type="all" dataOnly="0" outline="0" fieldPosition="0"/>
    </format>
    <format dxfId="13">
      <pivotArea outline="0" collapsedLevelsAreSubtotals="1" fieldPosition="0"/>
    </format>
    <format dxfId="12">
      <pivotArea type="origin" dataOnly="0" labelOnly="1" outline="0" fieldPosition="0"/>
    </format>
    <format dxfId="11">
      <pivotArea field="11" type="button" dataOnly="0" labelOnly="1" outline="0" axis="axisCol" fieldPosition="0"/>
    </format>
    <format dxfId="10">
      <pivotArea type="topRight" dataOnly="0" labelOnly="1" outline="0" fieldPosition="0"/>
    </format>
    <format dxfId="9">
      <pivotArea field="12" type="button" dataOnly="0" labelOnly="1" outline="0" axis="axisRow" fieldPosition="0"/>
    </format>
    <format dxfId="8">
      <pivotArea dataOnly="0" labelOnly="1" fieldPosition="0">
        <references count="1">
          <reference field="12" count="0"/>
        </references>
      </pivotArea>
    </format>
    <format dxfId="7">
      <pivotArea dataOnly="0" labelOnly="1" fieldPosition="0">
        <references count="1">
          <reference field="11" count="0"/>
        </references>
      </pivotArea>
    </format>
  </formats>
  <pivotTableStyleInfo name="PivotStyleLight1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ECA6F13-2D84-0741-965C-028897D097CD}" name="Tableau croisé dynamique7" cacheId="12" applyNumberFormats="0" applyBorderFormats="0" applyFontFormats="0" applyPatternFormats="0" applyAlignmentFormats="0" applyWidthHeightFormats="1" dataCaption="Valeurs" updatedVersion="8" minRefreshableVersion="3" itemPrintTitles="1" createdVersion="8" indent="0" outline="1" outlineData="1" multipleFieldFilters="0" rowHeaderCaption="Domaine">
  <location ref="D1:E7" firstHeaderRow="1" firstDataRow="1" firstDataCol="1"/>
  <pivotFields count="19">
    <pivotField showAll="0"/>
    <pivotField showAll="0"/>
    <pivotField numFmtId="14" showAll="0"/>
    <pivotField numFmtId="14" showAll="0"/>
    <pivotField showAll="0"/>
    <pivotField showAll="0"/>
    <pivotField showAll="0"/>
    <pivotField showAll="0"/>
    <pivotField showAll="0"/>
    <pivotField showAll="0"/>
    <pivotField dataField="1" showAll="0"/>
    <pivotField axis="axisRow" showAll="0">
      <items count="6">
        <item x="2"/>
        <item x="1"/>
        <item x="4"/>
        <item x="3"/>
        <item x="0"/>
        <item t="default"/>
      </items>
    </pivotField>
    <pivotField showAll="0"/>
    <pivotField numFmtId="2" showAll="0"/>
    <pivotField numFmtId="44" showAll="0"/>
    <pivotField numFmtId="44" showAll="0"/>
    <pivotField numFmtId="44" showAll="0"/>
    <pivotField numFmtId="44" showAll="0"/>
    <pivotField numFmtId="2" showAll="0"/>
  </pivotFields>
  <rowFields count="1">
    <field x="11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Nbr Deplacements" fld="10" subtotal="count" baseField="0" baseItem="0"/>
  </dataFields>
  <formats count="6">
    <format dxfId="6">
      <pivotArea type="all" dataOnly="0" outline="0" fieldPosition="0"/>
    </format>
    <format dxfId="5">
      <pivotArea outline="0" collapsedLevelsAreSubtotals="1" fieldPosition="0"/>
    </format>
    <format dxfId="4">
      <pivotArea field="11" type="button" dataOnly="0" labelOnly="1" outline="0" axis="axisRow" fieldPosition="0"/>
    </format>
    <format dxfId="3">
      <pivotArea dataOnly="0" labelOnly="1" fieldPosition="0">
        <references count="1">
          <reference field="11" count="0"/>
        </references>
      </pivotArea>
    </format>
    <format dxfId="2">
      <pivotArea dataOnly="0" labelOnly="1" grandRow="1" outline="0" fieldPosition="0"/>
    </format>
    <format dxfId="1">
      <pivotArea dataOnly="0" labelOnly="1" outline="0" axis="axisValues" fieldPosition="0"/>
    </format>
  </formats>
  <pivotTableStyleInfo name="PivotStyleLight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1" xr16:uid="{00438130-9EC8-5241-B8BE-A0017C505AFE}" autoFormatId="16" applyNumberFormats="0" applyBorderFormats="0" applyFontFormats="0" applyPatternFormats="0" applyAlignmentFormats="0" applyWidthHeightFormats="0">
  <queryTableRefresh nextId="6">
    <queryTableFields count="5">
      <queryTableField id="1" name="code_postal" tableColumnId="1"/>
      <queryTableField id="2" name="code_dep_insee" tableColumnId="2"/>
      <queryTableField id="3" name="nom_commune" tableColumnId="3"/>
      <queryTableField id="4" name="Population" tableColumnId="4"/>
      <queryTableField id="5" name="distance_paris_km" tableColumnId="5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2" xr16:uid="{D64C525B-308F-604B-85CF-40FE5DBD9F64}" autoFormatId="16" applyNumberFormats="0" applyBorderFormats="0" applyFontFormats="0" applyPatternFormats="0" applyAlignmentFormats="0" applyWidthHeightFormats="0">
  <queryTableRefresh nextId="15" unboundColumnsRight="4">
    <queryTableFields count="13">
      <queryTableField id="1" name="Make" tableColumnId="1"/>
      <queryTableField id="2" name="Model" tableColumnId="2"/>
      <queryTableField id="3" name="Vehicle Class" tableColumnId="3"/>
      <queryTableField id="4" name="Engine Size(L)" tableColumnId="4"/>
      <queryTableField id="5" name="Cylinders" tableColumnId="5"/>
      <queryTableField id="6" name="Transmission" tableColumnId="6"/>
      <queryTableField id="7" name="Fuel Consumption Comb (L/100 km)" tableColumnId="7"/>
      <queryTableField id="8" name="CO2 Emissions" tableColumnId="8"/>
      <queryTableField id="9" name="immatriculation" tableColumnId="9"/>
      <queryTableField id="10" dataBound="0" tableColumnId="10"/>
      <queryTableField id="13" dataBound="0" tableColumnId="13"/>
      <queryTableField id="11" dataBound="0" tableColumnId="11"/>
      <queryTableField id="14" dataBound="0" tableColumnId="12"/>
    </queryTableFields>
  </queryTableRefresh>
</queryTable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Moyen" xr10:uid="{9BB2EB07-F992-654E-BF37-045D99F6A408}" sourceName="Moyen">
  <pivotTables>
    <pivotTable tabId="9" name="Tableau croisé dynamique2"/>
  </pivotTables>
  <data>
    <tabular pivotCacheId="1069277051">
      <items count="2">
        <i x="0" s="1"/>
        <i x="1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Domaine" xr10:uid="{19C6BAC4-7153-174E-891F-7F53D8C07E34}" sourceName="Domaine">
  <pivotTables>
    <pivotTable tabId="9" name="Tableau croisé dynamique2"/>
  </pivotTables>
  <data>
    <tabular pivotCacheId="1069277051">
      <items count="5">
        <i x="2" s="1"/>
        <i x="1" s="1"/>
        <i x="4" s="1"/>
        <i x="3" s="1"/>
        <i x="0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Moyen" xr10:uid="{BE64C483-0C71-D640-8FB8-5CC38E56F758}" cache="Segment_Moyen" caption="Moyen" rowHeight="230716"/>
  <slicer name="Domaine" xr10:uid="{D2945C34-B080-8F46-98E8-7F98A1DD91B7}" cache="Segment_Domaine" caption="Domaine" rowHeight="230716"/>
</slicer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8DAA14-87C1-7448-91C3-23CFE6CAB6A4}" name="TableauDom" displayName="TableauDom" ref="A1:D46" totalsRowShown="0" headerRowDxfId="39" headerRowBorderDxfId="38" tableBorderDxfId="37">
  <autoFilter ref="A1:D46" xr:uid="{C28DAA14-87C1-7448-91C3-23CFE6CAB6A4}"/>
  <tableColumns count="4">
    <tableColumn id="1" xr3:uid="{939B61E6-9444-5749-BD66-B95BC1D535D4}" name="Matr"/>
    <tableColumn id="2" xr3:uid="{3624357E-B2EC-C447-B41D-B8DD8935B19B}" name="Expertise"/>
    <tableColumn id="3" xr3:uid="{5847FC71-91E1-FC4D-91DB-E60C67CBD929}" name="âge ">
      <calculatedColumnFormula>ROUNDDOWN(YEARFRAC(_xlfn.XLOOKUP(A2,Matr,Consultants!C:C,0,0),TODAY()),0)</calculatedColumnFormula>
    </tableColumn>
    <tableColumn id="4" xr3:uid="{B059D143-3DEB-C149-97DA-6B5835D41FBD}" name="Total Jours ouvrés" dataDxfId="36">
      <calculatedColumnFormula>SUMIFS(Deplacements!J:J,Matr_Deplacements,TableauDom[[#This Row],[Matr]],Domaine_Deplacements,TableauDom[[#This Row],[Expertise]])</calculatedColumnFormula>
    </tableColumn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5CF8E31-ECC1-CF4B-8D10-DD3C7417DFCD}" name="villes_clients" displayName="villes_clients" ref="A1:E101" tableType="queryTable" totalsRowShown="0">
  <autoFilter ref="A1:E101" xr:uid="{65CF8E31-ECC1-CF4B-8D10-DD3C7417DFCD}"/>
  <tableColumns count="5">
    <tableColumn id="1" xr3:uid="{3A84DDDE-2C10-384B-8C1D-107B5BCC556B}" uniqueName="1" name="code_postal" queryTableFieldId="1"/>
    <tableColumn id="2" xr3:uid="{EFA5C315-724E-A04B-AA72-B7A42B713C3A}" uniqueName="2" name="code_dep_insee" queryTableFieldId="2" dataDxfId="35"/>
    <tableColumn id="3" xr3:uid="{D3F8C5BC-5486-E245-A4BB-9E33887328A9}" uniqueName="3" name="nom_commune" queryTableFieldId="3" dataDxfId="34"/>
    <tableColumn id="4" xr3:uid="{13F77DE5-446E-6F47-B5CA-EFD1850637FE}" uniqueName="4" name="Population" queryTableFieldId="4" dataDxfId="33"/>
    <tableColumn id="5" xr3:uid="{43337536-FD2E-AE40-8E29-077532EDFAD4}" uniqueName="5" name="distance_paris_km" queryTableFieldId="5" dataDxfId="32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AB403C9-1411-B04A-A8F9-1503151C5893}" name="voitures_declarees" displayName="voitures_declarees" ref="A1:M11" tableType="queryTable" totalsRowShown="0">
  <autoFilter ref="A1:M11" xr:uid="{9AB403C9-1411-B04A-A8F9-1503151C5893}"/>
  <tableColumns count="13">
    <tableColumn id="1" xr3:uid="{9AEA5131-3BFF-1346-8958-65BB62FD755B}" uniqueName="1" name="Make" queryTableFieldId="1" dataDxfId="50"/>
    <tableColumn id="2" xr3:uid="{613E24A1-220A-B945-9091-B54507C08693}" uniqueName="2" name="Model" queryTableFieldId="2" dataDxfId="49"/>
    <tableColumn id="3" xr3:uid="{18BA4016-D279-834B-9859-7242D7BCE497}" uniqueName="3" name="Vehicle Class" queryTableFieldId="3" dataDxfId="48"/>
    <tableColumn id="4" xr3:uid="{3C76C8FC-AE43-5340-93CE-B10CFA8CCD1F}" uniqueName="4" name="Engine Size(L)" queryTableFieldId="4" dataDxfId="47"/>
    <tableColumn id="5" xr3:uid="{C43A2C19-00CE-8E41-AFE8-30B533B8A09A}" uniqueName="5" name="Cylinders" queryTableFieldId="5" dataDxfId="46"/>
    <tableColumn id="6" xr3:uid="{6CDC1C6D-AA9E-2744-89FB-1D3717F01744}" uniqueName="6" name="Transmission" queryTableFieldId="6" dataDxfId="45"/>
    <tableColumn id="7" xr3:uid="{683E7322-3EC0-564B-BDD7-D3734CB4AB2C}" uniqueName="7" name="Fuel Consumption Comb (L/100 km)" queryTableFieldId="7" dataDxfId="44"/>
    <tableColumn id="8" xr3:uid="{CB1E1D14-1C31-5341-A2DA-6D2C8D752E44}" uniqueName="8" name="CO2 Emissions" queryTableFieldId="8" dataDxfId="43"/>
    <tableColumn id="9" xr3:uid="{ED02A607-0EF0-DF4F-A748-C5D996F12C49}" uniqueName="9" name="immatriculation" queryTableFieldId="9" dataDxfId="42"/>
    <tableColumn id="10" xr3:uid="{79B9EEFE-D91D-AA40-AAC1-086692494E02}" uniqueName="10" name="Engine" queryTableFieldId="10" dataDxfId="41">
      <calculatedColumnFormula>_xlfn.NUMBERVALUE(D2, ".")</calculatedColumnFormula>
    </tableColumn>
    <tableColumn id="13" xr3:uid="{58DEFCE9-5084-1C42-95D2-4BCEE20C02D1}" uniqueName="13" name="Fuel conso" queryTableFieldId="13" dataDxfId="40">
      <calculatedColumnFormula>_xlfn.NUMBERVALUE(G2, ".")</calculatedColumnFormula>
    </tableColumn>
    <tableColumn id="11" xr3:uid="{94FFF5E4-8CB0-A34C-A1B3-32B61AED471A}" uniqueName="11" name="CO2" queryTableFieldId="11" dataDxfId="31">
      <calculatedColumnFormula>VALUE(SUBSTITUTE(H2," g/km",""))</calculatedColumnFormula>
    </tableColumn>
    <tableColumn id="12" xr3:uid="{71D02F02-5893-6E42-8562-AB9DE472F6CB}" uniqueName="12" name="Immatriculation2" queryTableFieldId="14" dataDxfId="30">
      <calculatedColumnFormula>SUBSTITUTE(I2," ","-")</calculatedColumnFormula>
    </tableColumn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imelineCaches/timelineCache1.xml><?xml version="1.0" encoding="utf-8"?>
<timelineCacheDefinition xmlns="http://schemas.microsoft.com/office/spreadsheetml/2010/11/main" xmlns:x15="http://schemas.microsoft.com/office/spreadsheetml/2010/11/main" xmlns:mc="http://schemas.openxmlformats.org/markup-compatibility/2006" xmlns:xr10="http://schemas.microsoft.com/office/spreadsheetml/2016/revision10" mc:Ignorable="xr10" name="ChronologieNative_Date_Début" xr10:uid="{6F43A21F-3D4C-E946-A75C-5336BDBB6B60}" sourceName="Date Début">
  <pivotTables>
    <pivotTable tabId="9" name="Tableau croisé dynamique2"/>
  </pivotTables>
  <state minimalRefreshVersion="6" lastRefreshVersion="6" pivotCacheId="1069277051" filterType="dateBetween">
    <selection startDate="2026-07-01T00:00:00" endDate="2026-08-31T00:00:00"/>
    <bounds startDate="2026-01-01T00:00:00" endDate="2028-01-01T00:00:00"/>
  </state>
</timelineCacheDefinition>
</file>

<file path=xl/timelines/timeline1.xml><?xml version="1.0" encoding="utf-8"?>
<timelines xmlns="http://schemas.microsoft.com/office/spreadsheetml/2010/11/main" xmlns:mc="http://schemas.openxmlformats.org/markup-compatibility/2006" xmlns:x="http://schemas.openxmlformats.org/spreadsheetml/2006/main" xmlns:xr10="http://schemas.microsoft.com/office/spreadsheetml/2016/revision10" mc:Ignorable="x xr10">
  <timeline name="Date Début 3" xr10:uid="{9701EB76-E7F3-BD4F-879F-48230781A055}" cache="ChronologieNative_Date_Début" caption="Date Début" level="2" selectionLevel="2" scrollPosition="2026-04-30T00:00:00"/>
</timeline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4.xml"/><Relationship Id="rId7" Type="http://schemas.microsoft.com/office/2011/relationships/timeline" Target="../timelines/timeline1.xml"/><Relationship Id="rId2" Type="http://schemas.openxmlformats.org/officeDocument/2006/relationships/pivotTable" Target="../pivotTables/pivotTable3.xml"/><Relationship Id="rId1" Type="http://schemas.openxmlformats.org/officeDocument/2006/relationships/pivotTable" Target="../pivotTables/pivotTable2.xml"/><Relationship Id="rId6" Type="http://schemas.microsoft.com/office/2007/relationships/slicer" Target="../slicers/slicer1.xml"/><Relationship Id="rId5" Type="http://schemas.openxmlformats.org/officeDocument/2006/relationships/drawing" Target="../drawings/drawing1.xml"/><Relationship Id="rId4" Type="http://schemas.openxmlformats.org/officeDocument/2006/relationships/pivotTable" Target="../pivotTables/pivot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workbookViewId="0">
      <selection activeCell="J4" sqref="J4"/>
    </sheetView>
  </sheetViews>
  <sheetFormatPr baseColWidth="10" defaultColWidth="8.83203125" defaultRowHeight="15" x14ac:dyDescent="0.2"/>
  <cols>
    <col min="2" max="2" width="23.5" customWidth="1"/>
    <col min="3" max="3" width="16" customWidth="1"/>
    <col min="4" max="4" width="16.33203125" customWidth="1"/>
    <col min="5" max="5" width="18.33203125" customWidth="1"/>
    <col min="6" max="7" width="17.5" customWidth="1"/>
    <col min="8" max="11" width="17.6640625" customWidth="1"/>
    <col min="13" max="13" width="10.5" bestFit="1" customWidth="1"/>
    <col min="14" max="14" width="13.6640625" bestFit="1" customWidth="1"/>
  </cols>
  <sheetData>
    <row r="1" spans="1:1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206</v>
      </c>
      <c r="F1" s="1" t="s">
        <v>208</v>
      </c>
      <c r="G1" s="1" t="s">
        <v>207</v>
      </c>
      <c r="H1" s="1" t="s">
        <v>205</v>
      </c>
      <c r="I1" s="34"/>
      <c r="J1" s="34"/>
      <c r="K1" s="35" t="s">
        <v>300</v>
      </c>
      <c r="L1" s="21"/>
      <c r="M1" s="36" t="s">
        <v>298</v>
      </c>
      <c r="N1" s="37" t="s">
        <v>299</v>
      </c>
    </row>
    <row r="2" spans="1:14" x14ac:dyDescent="0.2">
      <c r="A2">
        <v>3137</v>
      </c>
      <c r="B2" t="s">
        <v>4</v>
      </c>
      <c r="C2" s="3">
        <v>31413</v>
      </c>
      <c r="D2" s="3">
        <v>46172</v>
      </c>
      <c r="E2" s="3">
        <f>_xlfn.MAXIFS(Contrats!F:F,Matr_Contrats,Consultants!$A2)</f>
        <v>45833</v>
      </c>
      <c r="F2" s="3" t="str">
        <f>_xlfn.XLOOKUP(_xlfn.CONCAT($A2,"-",$E2),Dernier_contrat,Contrats!B:B,"",0)</f>
        <v>CDD</v>
      </c>
      <c r="G2" s="3">
        <f>IF(F2="CDI","",_xlfn.XLOOKUP(_xlfn.CONCAT($A2,"-",$E2),Dernier_contrat,Contrats!G:G,"",0))</f>
        <v>46553</v>
      </c>
      <c r="H2" s="3">
        <f t="shared" ref="H2:H21" ca="1" si="0">IF(ISBLANK(D2),
            IF(EDATE(E2,12) &lt; TODAY(),
                         WORKDAY(TODAY(),5,Jours_Fériés),
                         EDATE(E2,12) ),
             IF( G2 &lt; EDATE(D2,12),
                         WORKDAY(G2,-15,Jours_Fériés),
                         EDATE(D2,12) )
  )</f>
        <v>46537</v>
      </c>
      <c r="I2" s="3"/>
      <c r="K2" s="43" t="s">
        <v>297</v>
      </c>
      <c r="M2" t="str" cm="1">
        <f t="array" ref="M2">_xlfn.XLOOKUP(1, (Matr_Contrats = $A2 ) * (Contrats!$F:$F = $E2), Contrats!B:B)</f>
        <v>CDD</v>
      </c>
      <c r="N2" s="39" cm="1">
        <f t="array" ref="N2">IF(M2="CDD",_xlfn.XLOOKUP(1, (Matr_Contrats = $A2 ) * (Contrats!$F:$F = $E2), Contrats!G:G),"")</f>
        <v>46553</v>
      </c>
    </row>
    <row r="3" spans="1:14" x14ac:dyDescent="0.2">
      <c r="A3">
        <v>3542</v>
      </c>
      <c r="B3" t="s">
        <v>5</v>
      </c>
      <c r="C3" s="3">
        <v>35429</v>
      </c>
      <c r="D3" s="3"/>
      <c r="E3" s="3">
        <f>_xlfn.MAXIFS(Contrats!F:F,Matr_Contrats,Consultants!$A3)</f>
        <v>45932</v>
      </c>
      <c r="F3" s="3" t="str">
        <f>_xlfn.XLOOKUP(_xlfn.CONCAT($A3,"-",$E3),Dernier_contrat,Contrats!B:B,"",0)</f>
        <v>CDI</v>
      </c>
      <c r="G3" s="3" t="str">
        <f>IF(F3="CDI","",_xlfn.XLOOKUP(_xlfn.CONCAT($A3,"-",$E3),Dernier_contrat,Contrats!G:G,"",0))</f>
        <v/>
      </c>
      <c r="H3" s="3">
        <f t="shared" ca="1" si="0"/>
        <v>46297</v>
      </c>
      <c r="I3" s="3"/>
      <c r="K3" s="38"/>
      <c r="M3" t="str" cm="1">
        <f t="array" ref="M3">_xlfn.XLOOKUP(1, (Matr_Contrats = $A3 ) * (Contrats!$F:$F = $E3), Contrats!B:B)</f>
        <v>CDI</v>
      </c>
      <c r="N3" s="39" t="str" cm="1">
        <f t="array" ref="N3">IF(M3="CDD",_xlfn.XLOOKUP(1, (Matr_Contrats = $A3 ) * (Contrats!$F:$F = $E3), Contrats!G:G),"")</f>
        <v/>
      </c>
    </row>
    <row r="4" spans="1:14" x14ac:dyDescent="0.2">
      <c r="A4">
        <v>6423</v>
      </c>
      <c r="B4" t="s">
        <v>6</v>
      </c>
      <c r="C4" s="3">
        <v>32755</v>
      </c>
      <c r="D4" s="3">
        <v>45957</v>
      </c>
      <c r="E4" s="3">
        <f>_xlfn.MAXIFS(Contrats!F:F,Matr_Contrats,Consultants!$A4)</f>
        <v>44418</v>
      </c>
      <c r="F4" s="3" t="str">
        <f>_xlfn.XLOOKUP(_xlfn.CONCAT($A4,"-",$E4),Dernier_contrat,Contrats!B:B,"",0)</f>
        <v>CDI</v>
      </c>
      <c r="G4" s="3" t="str">
        <f>IF(F4="CDI","",_xlfn.XLOOKUP(_xlfn.CONCAT($A4,"-",$E4),Dernier_contrat,Contrats!G:G,"",0))</f>
        <v/>
      </c>
      <c r="H4" s="3">
        <f t="shared" ca="1" si="0"/>
        <v>46322</v>
      </c>
      <c r="I4" s="3"/>
      <c r="K4" s="38"/>
      <c r="M4" t="str" cm="1">
        <f t="array" ref="M4">_xlfn.XLOOKUP(1, (Matr_Contrats = $A4 ) * (Contrats!$F:$F = $E4), Contrats!B:B)</f>
        <v>CDI</v>
      </c>
      <c r="N4" s="39" t="str" cm="1">
        <f t="array" ref="N4">IF(M4="CDD",_xlfn.XLOOKUP(1, (Matr_Contrats = $A4 ) * (Contrats!$F:$F = $E4), Contrats!G:G),"")</f>
        <v/>
      </c>
    </row>
    <row r="5" spans="1:14" x14ac:dyDescent="0.2">
      <c r="A5">
        <v>4751</v>
      </c>
      <c r="B5" t="s">
        <v>7</v>
      </c>
      <c r="C5" s="3">
        <v>32102</v>
      </c>
      <c r="D5" s="3"/>
      <c r="E5" s="3">
        <f>_xlfn.MAXIFS(Contrats!F:F,Matr_Contrats,Consultants!$A5)</f>
        <v>45650</v>
      </c>
      <c r="F5" s="3" t="str">
        <f>_xlfn.XLOOKUP(_xlfn.CONCAT($A5,"-",$E5),Dernier_contrat,Contrats!B:B,"",0)</f>
        <v>CDD</v>
      </c>
      <c r="G5" s="3">
        <f>IF(F5="CDI","",_xlfn.XLOOKUP(_xlfn.CONCAT($A5,"-",$E5),Dernier_contrat,Contrats!G:G,"",0))</f>
        <v>46370</v>
      </c>
      <c r="H5" s="3">
        <f t="shared" ca="1" si="0"/>
        <v>46272</v>
      </c>
      <c r="I5" s="3"/>
      <c r="K5" s="38"/>
      <c r="M5" t="str" cm="1">
        <f t="array" ref="M5">_xlfn.XLOOKUP(1, (Matr_Contrats = $A5 ) * (Contrats!$F:$F = $E5), Contrats!B:B)</f>
        <v>CDD</v>
      </c>
      <c r="N5" s="39" cm="1">
        <f t="array" ref="N5">IF(M5="CDD",_xlfn.XLOOKUP(1, (Matr_Contrats = $A5 ) * (Contrats!$F:$F = $E5), Contrats!G:G),"")</f>
        <v>46370</v>
      </c>
    </row>
    <row r="6" spans="1:14" x14ac:dyDescent="0.2">
      <c r="A6">
        <v>5959</v>
      </c>
      <c r="B6" t="s">
        <v>8</v>
      </c>
      <c r="C6" s="3">
        <v>26186</v>
      </c>
      <c r="D6" s="3">
        <v>45960</v>
      </c>
      <c r="E6" s="3">
        <f>_xlfn.MAXIFS(Contrats!F:F,Matr_Contrats,Consultants!$A6)</f>
        <v>44388</v>
      </c>
      <c r="F6" s="3" t="str">
        <f>_xlfn.XLOOKUP(_xlfn.CONCAT($A6,"-",$E6),Dernier_contrat,Contrats!B:B,"",0)</f>
        <v>CDI</v>
      </c>
      <c r="G6" s="3" t="str">
        <f>IF(F6="CDI","",_xlfn.XLOOKUP(_xlfn.CONCAT($A6,"-",$E6),Dernier_contrat,Contrats!G:G,"",0))</f>
        <v/>
      </c>
      <c r="H6" s="3">
        <f t="shared" ca="1" si="0"/>
        <v>46325</v>
      </c>
      <c r="I6" s="3"/>
      <c r="K6" s="38"/>
      <c r="M6" t="str" cm="1">
        <f t="array" ref="M6">_xlfn.XLOOKUP(1, (Matr_Contrats = $A6 ) * (Contrats!$F:$F = $E6), Contrats!B:B)</f>
        <v>CDI</v>
      </c>
      <c r="N6" s="39" t="str" cm="1">
        <f t="array" ref="N6">IF(M6="CDD",_xlfn.XLOOKUP(1, (Matr_Contrats = $A6 ) * (Contrats!$F:$F = $E6), Contrats!G:G),"")</f>
        <v/>
      </c>
    </row>
    <row r="7" spans="1:14" x14ac:dyDescent="0.2">
      <c r="A7">
        <v>7954</v>
      </c>
      <c r="B7" t="s">
        <v>9</v>
      </c>
      <c r="C7" s="3">
        <v>29774</v>
      </c>
      <c r="D7" s="3">
        <v>45910</v>
      </c>
      <c r="E7" s="3">
        <f>_xlfn.MAXIFS(Contrats!F:F,Matr_Contrats,Consultants!$A7)</f>
        <v>44958</v>
      </c>
      <c r="F7" s="3" t="str">
        <f>_xlfn.XLOOKUP(_xlfn.CONCAT($A7,"-",$E7),Dernier_contrat,Contrats!B:B,"",0)</f>
        <v>CDI</v>
      </c>
      <c r="G7" s="3" t="str">
        <f>IF(F7="CDI","",_xlfn.XLOOKUP(_xlfn.CONCAT($A7,"-",$E7),Dernier_contrat,Contrats!G:G,"",0))</f>
        <v/>
      </c>
      <c r="H7" s="3">
        <f t="shared" ca="1" si="0"/>
        <v>46275</v>
      </c>
      <c r="I7" s="3"/>
      <c r="K7" s="38"/>
      <c r="M7" t="str" cm="1">
        <f t="array" ref="M7">_xlfn.XLOOKUP(1, (Matr_Contrats = $A7 ) * (Contrats!$F:$F = $E7), Contrats!B:B)</f>
        <v>CDI</v>
      </c>
      <c r="N7" s="39" t="str" cm="1">
        <f t="array" ref="N7">IF(M7="CDD",_xlfn.XLOOKUP(1, (Matr_Contrats = $A7 ) * (Contrats!$F:$F = $E7), Contrats!G:G),"")</f>
        <v/>
      </c>
    </row>
    <row r="8" spans="1:14" x14ac:dyDescent="0.2">
      <c r="A8">
        <v>8810</v>
      </c>
      <c r="B8" t="s">
        <v>10</v>
      </c>
      <c r="C8" s="3">
        <v>36647</v>
      </c>
      <c r="D8" s="3"/>
      <c r="E8" s="3">
        <f>_xlfn.MAXIFS(Contrats!F:F,Matr_Contrats,Consultants!$A8)</f>
        <v>46033</v>
      </c>
      <c r="F8" s="3" t="str">
        <f>_xlfn.XLOOKUP(_xlfn.CONCAT($A8,"-",$E8),Dernier_contrat,Contrats!B:B,"",0)</f>
        <v>CDD</v>
      </c>
      <c r="G8" s="3">
        <f>IF(F8="CDI","",_xlfn.XLOOKUP(_xlfn.CONCAT($A8,"-",$E8),Dernier_contrat,Contrats!G:G,"",0))</f>
        <v>46573</v>
      </c>
      <c r="H8" s="3">
        <f t="shared" ca="1" si="0"/>
        <v>46398</v>
      </c>
      <c r="I8" s="3"/>
      <c r="K8" s="38"/>
      <c r="M8" t="str" cm="1">
        <f t="array" ref="M8">_xlfn.XLOOKUP(1, (Matr_Contrats = $A8 ) * (Contrats!$F:$F = $E8), Contrats!B:B)</f>
        <v>CDD</v>
      </c>
      <c r="N8" s="39" cm="1">
        <f t="array" ref="N8">IF(M8="CDD",_xlfn.XLOOKUP(1, (Matr_Contrats = $A8 ) * (Contrats!$F:$F = $E8), Contrats!G:G),"")</f>
        <v>46573</v>
      </c>
    </row>
    <row r="9" spans="1:14" x14ac:dyDescent="0.2">
      <c r="A9">
        <v>5211</v>
      </c>
      <c r="B9" t="s">
        <v>11</v>
      </c>
      <c r="C9" s="3">
        <v>30470</v>
      </c>
      <c r="D9" s="3">
        <v>45957</v>
      </c>
      <c r="E9" s="3">
        <f>_xlfn.MAXIFS(Contrats!F:F,Matr_Contrats,Consultants!$A9)</f>
        <v>44666</v>
      </c>
      <c r="F9" s="3" t="str">
        <f>_xlfn.XLOOKUP(_xlfn.CONCAT($A9,"-",$E9),Dernier_contrat,Contrats!B:B,"",0)</f>
        <v>CDI</v>
      </c>
      <c r="G9" s="3" t="str">
        <f>IF(F9="CDI","",_xlfn.XLOOKUP(_xlfn.CONCAT($A9,"-",$E9),Dernier_contrat,Contrats!G:G,"",0))</f>
        <v/>
      </c>
      <c r="H9" s="3">
        <f t="shared" ca="1" si="0"/>
        <v>46322</v>
      </c>
      <c r="I9" s="3"/>
      <c r="K9" s="38"/>
      <c r="M9" t="str" cm="1">
        <f t="array" ref="M9">_xlfn.XLOOKUP(1, (Matr_Contrats = $A9 ) * (Contrats!$F:$F = $E9), Contrats!B:B)</f>
        <v>CDI</v>
      </c>
      <c r="N9" s="39" t="str" cm="1">
        <f t="array" ref="N9">IF(M9="CDD",_xlfn.XLOOKUP(1, (Matr_Contrats = $A9 ) * (Contrats!$F:$F = $E9), Contrats!G:G),"")</f>
        <v/>
      </c>
    </row>
    <row r="10" spans="1:14" x14ac:dyDescent="0.2">
      <c r="A10">
        <v>3582</v>
      </c>
      <c r="B10" t="s">
        <v>12</v>
      </c>
      <c r="C10" s="3">
        <v>36081</v>
      </c>
      <c r="D10" s="3">
        <v>45904</v>
      </c>
      <c r="E10" s="3">
        <f>_xlfn.MAXIFS(Contrats!F:F,Matr_Contrats,Consultants!$A10)</f>
        <v>45568</v>
      </c>
      <c r="F10" s="3" t="str">
        <f>_xlfn.XLOOKUP(_xlfn.CONCAT($A10,"-",$E10),Dernier_contrat,Contrats!B:B,"",0)</f>
        <v>CDI</v>
      </c>
      <c r="G10" s="3" t="str">
        <f>IF(F10="CDI","",_xlfn.XLOOKUP(_xlfn.CONCAT($A10,"-",$E10),Dernier_contrat,Contrats!G:G,"",0))</f>
        <v/>
      </c>
      <c r="H10" s="3">
        <f t="shared" ca="1" si="0"/>
        <v>46269</v>
      </c>
      <c r="I10" s="3"/>
      <c r="K10" s="38"/>
      <c r="M10" t="str" cm="1">
        <f t="array" ref="M10">_xlfn.XLOOKUP(1, (Matr_Contrats = $A10 ) * (Contrats!$F:$F = $E10), Contrats!B:B)</f>
        <v>CDI</v>
      </c>
      <c r="N10" s="39" t="str" cm="1">
        <f t="array" ref="N10">IF(M10="CDD",_xlfn.XLOOKUP(1, (Matr_Contrats = $A10 ) * (Contrats!$F:$F = $E10), Contrats!G:G),"")</f>
        <v/>
      </c>
    </row>
    <row r="11" spans="1:14" x14ac:dyDescent="0.2">
      <c r="A11">
        <v>7063</v>
      </c>
      <c r="B11" t="s">
        <v>13</v>
      </c>
      <c r="C11" s="3">
        <v>28491</v>
      </c>
      <c r="D11" s="3">
        <v>45968</v>
      </c>
      <c r="E11" s="3">
        <f>_xlfn.MAXIFS(Contrats!F:F,Matr_Contrats,Consultants!$A11)</f>
        <v>43903</v>
      </c>
      <c r="F11" s="3" t="str">
        <f>_xlfn.XLOOKUP(_xlfn.CONCAT($A11,"-",$E11),Dernier_contrat,Contrats!B:B,"",0)</f>
        <v>CDI</v>
      </c>
      <c r="G11" s="3" t="str">
        <f>IF(F11="CDI","",_xlfn.XLOOKUP(_xlfn.CONCAT($A11,"-",$E11),Dernier_contrat,Contrats!G:G,"",0))</f>
        <v/>
      </c>
      <c r="H11" s="3">
        <f t="shared" ca="1" si="0"/>
        <v>46333</v>
      </c>
      <c r="I11" s="3"/>
      <c r="K11" s="38"/>
      <c r="M11" t="str" cm="1">
        <f t="array" ref="M11">_xlfn.XLOOKUP(1, (Matr_Contrats = $A11 ) * (Contrats!$F:$F = $E11), Contrats!B:B)</f>
        <v>CDI</v>
      </c>
      <c r="N11" s="39" t="str" cm="1">
        <f t="array" ref="N11">IF(M11="CDD",_xlfn.XLOOKUP(1, (Matr_Contrats = $A11 ) * (Contrats!$F:$F = $E11), Contrats!G:G),"")</f>
        <v/>
      </c>
    </row>
    <row r="12" spans="1:14" x14ac:dyDescent="0.2">
      <c r="A12">
        <v>4733</v>
      </c>
      <c r="B12" t="s">
        <v>14</v>
      </c>
      <c r="C12" s="3">
        <v>27374</v>
      </c>
      <c r="D12" s="3">
        <v>45913</v>
      </c>
      <c r="E12" s="3">
        <f>_xlfn.MAXIFS(Contrats!F:F,Matr_Contrats,Consultants!$A12)</f>
        <v>45635</v>
      </c>
      <c r="F12" s="3" t="str">
        <f>_xlfn.XLOOKUP(_xlfn.CONCAT($A12,"-",$E12),Dernier_contrat,Contrats!B:B,"",0)</f>
        <v>CDI</v>
      </c>
      <c r="G12" s="3" t="str">
        <f>IF(F12="CDI","",_xlfn.XLOOKUP(_xlfn.CONCAT($A12,"-",$E12),Dernier_contrat,Contrats!G:G,"",0))</f>
        <v/>
      </c>
      <c r="H12" s="3">
        <f t="shared" ca="1" si="0"/>
        <v>46278</v>
      </c>
      <c r="I12" s="3"/>
      <c r="K12" s="38"/>
      <c r="M12" t="str" cm="1">
        <f t="array" ref="M12">_xlfn.XLOOKUP(1, (Matr_Contrats = $A12 ) * (Contrats!$F:$F = $E12), Contrats!B:B)</f>
        <v>CDI</v>
      </c>
      <c r="N12" s="39" t="str" cm="1">
        <f t="array" ref="N12">IF(M12="CDD",_xlfn.XLOOKUP(1, (Matr_Contrats = $A12 ) * (Contrats!$F:$F = $E12), Contrats!G:G),"")</f>
        <v/>
      </c>
    </row>
    <row r="13" spans="1:14" x14ac:dyDescent="0.2">
      <c r="A13">
        <v>7175</v>
      </c>
      <c r="B13" t="s">
        <v>15</v>
      </c>
      <c r="C13" s="3">
        <v>33621</v>
      </c>
      <c r="D13" s="3"/>
      <c r="E13" s="3">
        <f>_xlfn.MAXIFS(Contrats!F:F,Matr_Contrats,Consultants!$A13)</f>
        <v>46027</v>
      </c>
      <c r="F13" s="3" t="str">
        <f>_xlfn.XLOOKUP(_xlfn.CONCAT($A13,"-",$E13),Dernier_contrat,Contrats!B:B,"",0)</f>
        <v>CDD</v>
      </c>
      <c r="G13" s="3">
        <f>IF(F13="CDI","",_xlfn.XLOOKUP(_xlfn.CONCAT($A13,"-",$E13),Dernier_contrat,Contrats!G:G,"",0))</f>
        <v>46567</v>
      </c>
      <c r="H13" s="3">
        <f t="shared" ca="1" si="0"/>
        <v>46392</v>
      </c>
      <c r="I13" s="3"/>
      <c r="K13" s="38"/>
      <c r="M13" t="str" cm="1">
        <f t="array" ref="M13">_xlfn.XLOOKUP(1, (Matr_Contrats = $A13 ) * (Contrats!$F:$F = $E13), Contrats!B:B)</f>
        <v>CDD</v>
      </c>
      <c r="N13" s="39" cm="1">
        <f t="array" ref="N13">IF(M13="CDD",_xlfn.XLOOKUP(1, (Matr_Contrats = $A13 ) * (Contrats!$F:$F = $E13), Contrats!G:G),"")</f>
        <v>46567</v>
      </c>
    </row>
    <row r="14" spans="1:14" x14ac:dyDescent="0.2">
      <c r="A14">
        <v>5607</v>
      </c>
      <c r="B14" t="s">
        <v>16</v>
      </c>
      <c r="C14" s="3">
        <v>36390</v>
      </c>
      <c r="D14" s="3">
        <v>45988</v>
      </c>
      <c r="E14" s="3">
        <f>_xlfn.MAXIFS(Contrats!F:F,Matr_Contrats,Consultants!$A14)</f>
        <v>44656</v>
      </c>
      <c r="F14" s="3" t="str">
        <f>_xlfn.XLOOKUP(_xlfn.CONCAT($A14,"-",$E14),Dernier_contrat,Contrats!B:B,"",0)</f>
        <v>CDI</v>
      </c>
      <c r="G14" s="3" t="str">
        <f>IF(F14="CDI","",_xlfn.XLOOKUP(_xlfn.CONCAT($A14,"-",$E14),Dernier_contrat,Contrats!G:G,"",0))</f>
        <v/>
      </c>
      <c r="H14" s="3">
        <f t="shared" ca="1" si="0"/>
        <v>46353</v>
      </c>
      <c r="I14" s="3"/>
      <c r="K14" s="38"/>
      <c r="M14" t="str" cm="1">
        <f t="array" ref="M14">_xlfn.XLOOKUP(1, (Matr_Contrats = $A14 ) * (Contrats!$F:$F = $E14), Contrats!B:B)</f>
        <v>CDI</v>
      </c>
      <c r="N14" s="39" t="str" cm="1">
        <f t="array" ref="N14">IF(M14="CDD",_xlfn.XLOOKUP(1, (Matr_Contrats = $A14 ) * (Contrats!$F:$F = $E14), Contrats!G:G),"")</f>
        <v/>
      </c>
    </row>
    <row r="15" spans="1:14" x14ac:dyDescent="0.2">
      <c r="A15">
        <v>4641</v>
      </c>
      <c r="B15" t="s">
        <v>17</v>
      </c>
      <c r="C15" s="3">
        <v>28429</v>
      </c>
      <c r="D15" s="3">
        <v>46366</v>
      </c>
      <c r="E15" s="3">
        <f>_xlfn.MAXIFS(Contrats!F:F,Matr_Contrats,Consultants!$A15)</f>
        <v>46010</v>
      </c>
      <c r="F15" s="3" t="str">
        <f>_xlfn.XLOOKUP(_xlfn.CONCAT($A15,"-",$E15),Dernier_contrat,Contrats!B:B,"",0)</f>
        <v>CDD</v>
      </c>
      <c r="G15" s="3">
        <f>IF(F15="CDI","",_xlfn.XLOOKUP(_xlfn.CONCAT($A15,"-",$E15),Dernier_contrat,Contrats!G:G,"",0))</f>
        <v>46550</v>
      </c>
      <c r="H15" s="3">
        <f t="shared" ca="1" si="0"/>
        <v>46531</v>
      </c>
      <c r="I15" s="3"/>
      <c r="K15" s="38"/>
      <c r="M15" t="str" cm="1">
        <f t="array" ref="M15">_xlfn.XLOOKUP(1, (Matr_Contrats = $A15 ) * (Contrats!$F:$F = $E15), Contrats!B:B)</f>
        <v>CDD</v>
      </c>
      <c r="N15" s="39" cm="1">
        <f t="array" ref="N15">IF(M15="CDD",_xlfn.XLOOKUP(1, (Matr_Contrats = $A15 ) * (Contrats!$F:$F = $E15), Contrats!G:G),"")</f>
        <v>46550</v>
      </c>
    </row>
    <row r="16" spans="1:14" x14ac:dyDescent="0.2">
      <c r="A16">
        <v>4744</v>
      </c>
      <c r="B16" t="s">
        <v>18</v>
      </c>
      <c r="C16" s="3">
        <v>29399</v>
      </c>
      <c r="D16" s="3">
        <v>45974</v>
      </c>
      <c r="E16" s="3">
        <f>_xlfn.MAXIFS(Contrats!F:F,Matr_Contrats,Consultants!$A16)</f>
        <v>44601</v>
      </c>
      <c r="F16" s="3" t="str">
        <f>_xlfn.XLOOKUP(_xlfn.CONCAT($A16,"-",$E16),Dernier_contrat,Contrats!B:B,"",0)</f>
        <v>CDI</v>
      </c>
      <c r="G16" s="3" t="str">
        <f>IF(F16="CDI","",_xlfn.XLOOKUP(_xlfn.CONCAT($A16,"-",$E16),Dernier_contrat,Contrats!G:G,"",0))</f>
        <v/>
      </c>
      <c r="H16" s="3">
        <f t="shared" ca="1" si="0"/>
        <v>46339</v>
      </c>
      <c r="I16" s="3"/>
      <c r="K16" s="38"/>
      <c r="M16" t="str" cm="1">
        <f t="array" ref="M16">_xlfn.XLOOKUP(1, (Matr_Contrats = $A16 ) * (Contrats!$F:$F = $E16), Contrats!B:B)</f>
        <v>CDI</v>
      </c>
      <c r="N16" s="39" t="str" cm="1">
        <f t="array" ref="N16">IF(M16="CDD",_xlfn.XLOOKUP(1, (Matr_Contrats = $A16 ) * (Contrats!$F:$F = $E16), Contrats!G:G),"")</f>
        <v/>
      </c>
    </row>
    <row r="17" spans="1:14" x14ac:dyDescent="0.2">
      <c r="A17">
        <v>1435</v>
      </c>
      <c r="B17" t="s">
        <v>19</v>
      </c>
      <c r="C17" s="3">
        <v>32739</v>
      </c>
      <c r="D17" s="3">
        <v>45986</v>
      </c>
      <c r="E17" s="3">
        <f>_xlfn.MAXIFS(Contrats!F:F,Matr_Contrats,Consultants!$A17)</f>
        <v>45276</v>
      </c>
      <c r="F17" s="3" t="str">
        <f>_xlfn.XLOOKUP(_xlfn.CONCAT($A17,"-",$E17),Dernier_contrat,Contrats!B:B,"",0)</f>
        <v>CDI</v>
      </c>
      <c r="G17" s="3" t="str">
        <f>IF(F17="CDI","",_xlfn.XLOOKUP(_xlfn.CONCAT($A17,"-",$E17),Dernier_contrat,Contrats!G:G,"",0))</f>
        <v/>
      </c>
      <c r="H17" s="3">
        <f t="shared" ca="1" si="0"/>
        <v>46351</v>
      </c>
      <c r="I17" s="3"/>
      <c r="K17" s="38"/>
      <c r="M17" t="str" cm="1">
        <f t="array" ref="M17">_xlfn.XLOOKUP(1, (Matr_Contrats = $A17 ) * (Contrats!$F:$F = $E17), Contrats!B:B)</f>
        <v>CDI</v>
      </c>
      <c r="N17" s="39" t="str" cm="1">
        <f t="array" ref="N17">IF(M17="CDD",_xlfn.XLOOKUP(1, (Matr_Contrats = $A17 ) * (Contrats!$F:$F = $E17), Contrats!G:G),"")</f>
        <v/>
      </c>
    </row>
    <row r="18" spans="1:14" x14ac:dyDescent="0.2">
      <c r="A18">
        <v>8195</v>
      </c>
      <c r="B18" t="s">
        <v>20</v>
      </c>
      <c r="C18" s="3">
        <v>27899</v>
      </c>
      <c r="D18" s="3">
        <v>45941</v>
      </c>
      <c r="E18" s="3">
        <f>_xlfn.MAXIFS(Contrats!F:F,Matr_Contrats,Consultants!$A18)</f>
        <v>45407</v>
      </c>
      <c r="F18" s="3" t="str">
        <f>_xlfn.XLOOKUP(_xlfn.CONCAT($A18,"-",$E18),Dernier_contrat,Contrats!B:B,"",0)</f>
        <v>CDI</v>
      </c>
      <c r="G18" s="3" t="str">
        <f>IF(F18="CDI","",_xlfn.XLOOKUP(_xlfn.CONCAT($A18,"-",$E18),Dernier_contrat,Contrats!G:G,"",0))</f>
        <v/>
      </c>
      <c r="H18" s="3">
        <f t="shared" ca="1" si="0"/>
        <v>46306</v>
      </c>
      <c r="I18" s="3"/>
      <c r="K18" s="38"/>
      <c r="M18" t="str" cm="1">
        <f t="array" ref="M18">_xlfn.XLOOKUP(1, (Matr_Contrats = $A18 ) * (Contrats!$F:$F = $E18), Contrats!B:B)</f>
        <v>CDI</v>
      </c>
      <c r="N18" s="39" t="str" cm="1">
        <f t="array" ref="N18">IF(M18="CDD",_xlfn.XLOOKUP(1, (Matr_Contrats = $A18 ) * (Contrats!$F:$F = $E18), Contrats!G:G),"")</f>
        <v/>
      </c>
    </row>
    <row r="19" spans="1:14" x14ac:dyDescent="0.2">
      <c r="A19">
        <v>3772</v>
      </c>
      <c r="B19" t="s">
        <v>21</v>
      </c>
      <c r="C19" s="3">
        <v>31032</v>
      </c>
      <c r="D19" s="3"/>
      <c r="E19" s="3">
        <f>_xlfn.MAXIFS(Contrats!F:F,Matr_Contrats,Consultants!$A19)</f>
        <v>45945</v>
      </c>
      <c r="F19" s="3" t="str">
        <f>_xlfn.XLOOKUP(_xlfn.CONCAT($A19,"-",$E19),Dernier_contrat,Contrats!B:B,"",0)</f>
        <v>CDD</v>
      </c>
      <c r="G19" s="3">
        <f>IF(F19="CDI","",_xlfn.XLOOKUP(_xlfn.CONCAT($A19,"-",$E19),Dernier_contrat,Contrats!G:G,"",0))</f>
        <v>46305</v>
      </c>
      <c r="H19" s="3">
        <f t="shared" ca="1" si="0"/>
        <v>46310</v>
      </c>
      <c r="I19" s="3"/>
      <c r="K19" s="40"/>
      <c r="L19" s="41"/>
      <c r="M19" s="41" t="str" cm="1">
        <f t="array" ref="M19">_xlfn.XLOOKUP(1, (Matr_Contrats = $A19 ) * (Contrats!$F:$F = $E19), Contrats!B:B)</f>
        <v>CDD</v>
      </c>
      <c r="N19" s="42" cm="1">
        <f t="array" ref="N19">IF(M19="CDD",_xlfn.XLOOKUP(1, (Matr_Contrats = $A19 ) * (Contrats!$F:$F = $E19), Contrats!G:G),"")</f>
        <v>46305</v>
      </c>
    </row>
    <row r="20" spans="1:14" x14ac:dyDescent="0.2">
      <c r="A20">
        <v>8988</v>
      </c>
      <c r="B20" t="s">
        <v>22</v>
      </c>
      <c r="C20" s="3">
        <v>36513</v>
      </c>
      <c r="D20" s="3"/>
      <c r="E20" s="3">
        <f>_xlfn.MAXIFS(Contrats!F:F,Matr_Contrats,Consultants!$A20)</f>
        <v>45781</v>
      </c>
      <c r="F20" s="3" t="str">
        <f>_xlfn.XLOOKUP(_xlfn.CONCAT($A20,"-",$E20),Dernier_contrat,Contrats!B:B,"",0)</f>
        <v>CDI</v>
      </c>
      <c r="G20" s="3" t="str">
        <f>IF(F20="CDI","",_xlfn.XLOOKUP(_xlfn.CONCAT($A20,"-",$E20),Dernier_contrat,Contrats!G:G,"",0))</f>
        <v/>
      </c>
      <c r="H20" s="3">
        <f t="shared" ca="1" si="0"/>
        <v>46272</v>
      </c>
      <c r="I20" s="3"/>
    </row>
    <row r="21" spans="1:14" x14ac:dyDescent="0.2">
      <c r="A21">
        <v>4359</v>
      </c>
      <c r="B21" t="s">
        <v>23</v>
      </c>
      <c r="C21" s="3">
        <v>36095</v>
      </c>
      <c r="D21" s="3">
        <v>45965</v>
      </c>
      <c r="E21" s="3">
        <f>_xlfn.MAXIFS(Contrats!F:F,Matr_Contrats,Consultants!$A21)</f>
        <v>44349</v>
      </c>
      <c r="F21" s="3" t="str">
        <f>_xlfn.XLOOKUP(_xlfn.CONCAT($A21,"-",$E21),Dernier_contrat,Contrats!B:B,"",0)</f>
        <v>CDI</v>
      </c>
      <c r="G21" s="3" t="str">
        <f>IF(F21="CDI","",_xlfn.XLOOKUP(_xlfn.CONCAT($A21,"-",$E21),Dernier_contrat,Contrats!G:G,"",0))</f>
        <v/>
      </c>
      <c r="H21" s="3">
        <f t="shared" ca="1" si="0"/>
        <v>46330</v>
      </c>
      <c r="I21" s="3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6"/>
  <sheetViews>
    <sheetView zoomScale="110" zoomScaleNormal="110" workbookViewId="0">
      <selection activeCell="D2" sqref="D2"/>
    </sheetView>
  </sheetViews>
  <sheetFormatPr baseColWidth="10" defaultColWidth="8.83203125" defaultRowHeight="15" x14ac:dyDescent="0.2"/>
  <cols>
    <col min="2" max="2" width="21.6640625" customWidth="1"/>
    <col min="4" max="4" width="18.33203125" customWidth="1"/>
  </cols>
  <sheetData>
    <row r="1" spans="1:4" x14ac:dyDescent="0.2">
      <c r="A1" s="7" t="s">
        <v>0</v>
      </c>
      <c r="B1" s="7" t="s">
        <v>24</v>
      </c>
      <c r="C1" s="7" t="s">
        <v>194</v>
      </c>
      <c r="D1" s="7" t="s">
        <v>203</v>
      </c>
    </row>
    <row r="2" spans="1:4" x14ac:dyDescent="0.2">
      <c r="A2">
        <v>3137</v>
      </c>
      <c r="B2" t="s">
        <v>25</v>
      </c>
      <c r="C2">
        <f ca="1">ROUNDDOWN(YEARFRAC(_xlfn.XLOOKUP(A2,Matr,Consultants!C:C,0,0),TODAY()),0)</f>
        <v>40</v>
      </c>
      <c r="D2">
        <f>SUMIFS(Deplacements!J:J,Matr_Deplacements,TableauDom[[#This Row],[Matr]],Domaine_Deplacements,TableauDom[[#This Row],[Expertise]])</f>
        <v>0</v>
      </c>
    </row>
    <row r="3" spans="1:4" x14ac:dyDescent="0.2">
      <c r="A3">
        <v>3542</v>
      </c>
      <c r="B3" t="s">
        <v>25</v>
      </c>
      <c r="C3">
        <f ca="1">ROUNDDOWN(YEARFRAC(_xlfn.XLOOKUP(A3,Matr,Consultants!C:C,0,0),TODAY()),0)</f>
        <v>29</v>
      </c>
      <c r="D3">
        <f>SUMIFS(Deplacements!J:J,Matr_Deplacements,TableauDom[[#This Row],[Matr]],Domaine_Deplacements,TableauDom[[#This Row],[Expertise]])</f>
        <v>0</v>
      </c>
    </row>
    <row r="4" spans="1:4" x14ac:dyDescent="0.2">
      <c r="A4">
        <v>3542</v>
      </c>
      <c r="B4" t="s">
        <v>26</v>
      </c>
      <c r="C4">
        <f ca="1">ROUNDDOWN(YEARFRAC(_xlfn.XLOOKUP(A4,Matr,Consultants!C:C,0,0),TODAY()),0)</f>
        <v>29</v>
      </c>
      <c r="D4">
        <f>SUMIFS(Deplacements!J:J,Matr_Deplacements,TableauDom[[#This Row],[Matr]],Domaine_Deplacements,TableauDom[[#This Row],[Expertise]])</f>
        <v>0</v>
      </c>
    </row>
    <row r="5" spans="1:4" x14ac:dyDescent="0.2">
      <c r="A5">
        <v>3542</v>
      </c>
      <c r="B5" t="s">
        <v>27</v>
      </c>
      <c r="C5">
        <f ca="1">ROUNDDOWN(YEARFRAC(_xlfn.XLOOKUP(A5,Matr,Consultants!C:C,0,0),TODAY()),0)</f>
        <v>29</v>
      </c>
      <c r="D5">
        <f>SUMIFS(Deplacements!J:J,Matr_Deplacements,TableauDom[[#This Row],[Matr]],Domaine_Deplacements,TableauDom[[#This Row],[Expertise]])</f>
        <v>12</v>
      </c>
    </row>
    <row r="6" spans="1:4" x14ac:dyDescent="0.2">
      <c r="A6">
        <v>6423</v>
      </c>
      <c r="B6" t="s">
        <v>28</v>
      </c>
      <c r="C6">
        <f ca="1">ROUNDDOWN(YEARFRAC(_xlfn.XLOOKUP(A6,Matr,Consultants!C:C,0,0),TODAY()),0)</f>
        <v>36</v>
      </c>
      <c r="D6">
        <f>SUMIFS(Deplacements!J:J,Matr_Deplacements,TableauDom[[#This Row],[Matr]],Domaine_Deplacements,TableauDom[[#This Row],[Expertise]])</f>
        <v>10</v>
      </c>
    </row>
    <row r="7" spans="1:4" x14ac:dyDescent="0.2">
      <c r="A7">
        <v>4751</v>
      </c>
      <c r="B7" t="s">
        <v>29</v>
      </c>
      <c r="C7">
        <f ca="1">ROUNDDOWN(YEARFRAC(_xlfn.XLOOKUP(A7,Matr,Consultants!C:C,0,0),TODAY()),0)</f>
        <v>38</v>
      </c>
      <c r="D7">
        <f>SUMIFS(Deplacements!J:J,Matr_Deplacements,TableauDom[[#This Row],[Matr]],Domaine_Deplacements,TableauDom[[#This Row],[Expertise]])</f>
        <v>20</v>
      </c>
    </row>
    <row r="8" spans="1:4" x14ac:dyDescent="0.2">
      <c r="A8">
        <v>4751</v>
      </c>
      <c r="B8" t="s">
        <v>26</v>
      </c>
      <c r="C8">
        <f ca="1">ROUNDDOWN(YEARFRAC(_xlfn.XLOOKUP(A8,Matr,Consultants!C:C,0,0),TODAY()),0)</f>
        <v>38</v>
      </c>
      <c r="D8">
        <f>SUMIFS(Deplacements!J:J,Matr_Deplacements,TableauDom[[#This Row],[Matr]],Domaine_Deplacements,TableauDom[[#This Row],[Expertise]])</f>
        <v>17</v>
      </c>
    </row>
    <row r="9" spans="1:4" x14ac:dyDescent="0.2">
      <c r="A9">
        <v>5959</v>
      </c>
      <c r="B9" t="s">
        <v>28</v>
      </c>
      <c r="C9">
        <f ca="1">ROUNDDOWN(YEARFRAC(_xlfn.XLOOKUP(A9,Matr,Consultants!C:C,0,0),TODAY()),0)</f>
        <v>54</v>
      </c>
      <c r="D9">
        <f>SUMIFS(Deplacements!J:J,Matr_Deplacements,TableauDom[[#This Row],[Matr]],Domaine_Deplacements,TableauDom[[#This Row],[Expertise]])</f>
        <v>0</v>
      </c>
    </row>
    <row r="10" spans="1:4" x14ac:dyDescent="0.2">
      <c r="A10">
        <v>5959</v>
      </c>
      <c r="B10" t="s">
        <v>26</v>
      </c>
      <c r="C10">
        <f ca="1">ROUNDDOWN(YEARFRAC(_xlfn.XLOOKUP(A10,Matr,Consultants!C:C,0,0),TODAY()),0)</f>
        <v>54</v>
      </c>
      <c r="D10">
        <f>SUMIFS(Deplacements!J:J,Matr_Deplacements,TableauDom[[#This Row],[Matr]],Domaine_Deplacements,TableauDom[[#This Row],[Expertise]])</f>
        <v>10</v>
      </c>
    </row>
    <row r="11" spans="1:4" x14ac:dyDescent="0.2">
      <c r="A11">
        <v>5959</v>
      </c>
      <c r="B11" t="s">
        <v>29</v>
      </c>
      <c r="C11">
        <f ca="1">ROUNDDOWN(YEARFRAC(_xlfn.XLOOKUP(A11,Matr,Consultants!C:C,0,0),TODAY()),0)</f>
        <v>54</v>
      </c>
      <c r="D11">
        <f>SUMIFS(Deplacements!J:J,Matr_Deplacements,TableauDom[[#This Row],[Matr]],Domaine_Deplacements,TableauDom[[#This Row],[Expertise]])</f>
        <v>57</v>
      </c>
    </row>
    <row r="12" spans="1:4" x14ac:dyDescent="0.2">
      <c r="A12">
        <v>7954</v>
      </c>
      <c r="B12" t="s">
        <v>28</v>
      </c>
      <c r="C12">
        <f ca="1">ROUNDDOWN(YEARFRAC(_xlfn.XLOOKUP(A12,Matr,Consultants!C:C,0,0),TODAY()),0)</f>
        <v>45</v>
      </c>
      <c r="D12">
        <f>SUMIFS(Deplacements!J:J,Matr_Deplacements,TableauDom[[#This Row],[Matr]],Domaine_Deplacements,TableauDom[[#This Row],[Expertise]])</f>
        <v>0</v>
      </c>
    </row>
    <row r="13" spans="1:4" x14ac:dyDescent="0.2">
      <c r="A13">
        <v>7954</v>
      </c>
      <c r="B13" t="s">
        <v>25</v>
      </c>
      <c r="C13">
        <f ca="1">ROUNDDOWN(YEARFRAC(_xlfn.XLOOKUP(A13,Matr,Consultants!C:C,0,0),TODAY()),0)</f>
        <v>45</v>
      </c>
      <c r="D13">
        <f>SUMIFS(Deplacements!J:J,Matr_Deplacements,TableauDom[[#This Row],[Matr]],Domaine_Deplacements,TableauDom[[#This Row],[Expertise]])</f>
        <v>15</v>
      </c>
    </row>
    <row r="14" spans="1:4" x14ac:dyDescent="0.2">
      <c r="A14">
        <v>7954</v>
      </c>
      <c r="B14" t="s">
        <v>26</v>
      </c>
      <c r="C14">
        <f ca="1">ROUNDDOWN(YEARFRAC(_xlfn.XLOOKUP(A14,Matr,Consultants!C:C,0,0),TODAY()),0)</f>
        <v>45</v>
      </c>
      <c r="D14">
        <f>SUMIFS(Deplacements!J:J,Matr_Deplacements,TableauDom[[#This Row],[Matr]],Domaine_Deplacements,TableauDom[[#This Row],[Expertise]])</f>
        <v>5</v>
      </c>
    </row>
    <row r="15" spans="1:4" x14ac:dyDescent="0.2">
      <c r="A15">
        <v>8810</v>
      </c>
      <c r="B15" t="s">
        <v>29</v>
      </c>
      <c r="C15">
        <f ca="1">ROUNDDOWN(YEARFRAC(_xlfn.XLOOKUP(A15,Matr,Consultants!C:C,0,0),TODAY()),0)</f>
        <v>26</v>
      </c>
      <c r="D15">
        <f>SUMIFS(Deplacements!J:J,Matr_Deplacements,TableauDom[[#This Row],[Matr]],Domaine_Deplacements,TableauDom[[#This Row],[Expertise]])</f>
        <v>58</v>
      </c>
    </row>
    <row r="16" spans="1:4" x14ac:dyDescent="0.2">
      <c r="A16">
        <v>8810</v>
      </c>
      <c r="B16" t="s">
        <v>27</v>
      </c>
      <c r="C16">
        <f ca="1">ROUNDDOWN(YEARFRAC(_xlfn.XLOOKUP(A16,Matr,Consultants!C:C,0,0),TODAY()),0)</f>
        <v>26</v>
      </c>
      <c r="D16">
        <f>SUMIFS(Deplacements!J:J,Matr_Deplacements,TableauDom[[#This Row],[Matr]],Domaine_Deplacements,TableauDom[[#This Row],[Expertise]])</f>
        <v>0</v>
      </c>
    </row>
    <row r="17" spans="1:4" x14ac:dyDescent="0.2">
      <c r="A17">
        <v>8810</v>
      </c>
      <c r="B17" t="s">
        <v>25</v>
      </c>
      <c r="C17">
        <f ca="1">ROUNDDOWN(YEARFRAC(_xlfn.XLOOKUP(A17,Matr,Consultants!C:C,0,0),TODAY()),0)</f>
        <v>26</v>
      </c>
      <c r="D17">
        <f>SUMIFS(Deplacements!J:J,Matr_Deplacements,TableauDom[[#This Row],[Matr]],Domaine_Deplacements,TableauDom[[#This Row],[Expertise]])</f>
        <v>8</v>
      </c>
    </row>
    <row r="18" spans="1:4" x14ac:dyDescent="0.2">
      <c r="A18">
        <v>5211</v>
      </c>
      <c r="B18" t="s">
        <v>25</v>
      </c>
      <c r="C18">
        <f ca="1">ROUNDDOWN(YEARFRAC(_xlfn.XLOOKUP(A18,Matr,Consultants!C:C,0,0),TODAY()),0)</f>
        <v>43</v>
      </c>
      <c r="D18">
        <f>SUMIFS(Deplacements!J:J,Matr_Deplacements,TableauDom[[#This Row],[Matr]],Domaine_Deplacements,TableauDom[[#This Row],[Expertise]])</f>
        <v>27</v>
      </c>
    </row>
    <row r="19" spans="1:4" x14ac:dyDescent="0.2">
      <c r="A19">
        <v>5211</v>
      </c>
      <c r="B19" t="s">
        <v>28</v>
      </c>
      <c r="C19">
        <f ca="1">ROUNDDOWN(YEARFRAC(_xlfn.XLOOKUP(A19,Matr,Consultants!C:C,0,0),TODAY()),0)</f>
        <v>43</v>
      </c>
      <c r="D19">
        <f>SUMIFS(Deplacements!J:J,Matr_Deplacements,TableauDom[[#This Row],[Matr]],Domaine_Deplacements,TableauDom[[#This Row],[Expertise]])</f>
        <v>3</v>
      </c>
    </row>
    <row r="20" spans="1:4" x14ac:dyDescent="0.2">
      <c r="A20">
        <v>3582</v>
      </c>
      <c r="B20" t="s">
        <v>29</v>
      </c>
      <c r="C20">
        <f ca="1">ROUNDDOWN(YEARFRAC(_xlfn.XLOOKUP(A20,Matr,Consultants!C:C,0,0),TODAY()),0)</f>
        <v>27</v>
      </c>
      <c r="D20">
        <f>SUMIFS(Deplacements!J:J,Matr_Deplacements,TableauDom[[#This Row],[Matr]],Domaine_Deplacements,TableauDom[[#This Row],[Expertise]])</f>
        <v>19</v>
      </c>
    </row>
    <row r="21" spans="1:4" x14ac:dyDescent="0.2">
      <c r="A21">
        <v>3582</v>
      </c>
      <c r="B21" t="s">
        <v>26</v>
      </c>
      <c r="C21">
        <f ca="1">ROUNDDOWN(YEARFRAC(_xlfn.XLOOKUP(A21,Matr,Consultants!C:C,0,0),TODAY()),0)</f>
        <v>27</v>
      </c>
      <c r="D21">
        <f>SUMIFS(Deplacements!J:J,Matr_Deplacements,TableauDom[[#This Row],[Matr]],Domaine_Deplacements,TableauDom[[#This Row],[Expertise]])</f>
        <v>1</v>
      </c>
    </row>
    <row r="22" spans="1:4" x14ac:dyDescent="0.2">
      <c r="A22">
        <v>3582</v>
      </c>
      <c r="B22" t="s">
        <v>28</v>
      </c>
      <c r="C22">
        <f ca="1">ROUNDDOWN(YEARFRAC(_xlfn.XLOOKUP(A22,Matr,Consultants!C:C,0,0),TODAY()),0)</f>
        <v>27</v>
      </c>
      <c r="D22">
        <f>SUMIFS(Deplacements!J:J,Matr_Deplacements,TableauDom[[#This Row],[Matr]],Domaine_Deplacements,TableauDom[[#This Row],[Expertise]])</f>
        <v>0</v>
      </c>
    </row>
    <row r="23" spans="1:4" x14ac:dyDescent="0.2">
      <c r="A23">
        <v>7063</v>
      </c>
      <c r="B23" t="s">
        <v>28</v>
      </c>
      <c r="C23">
        <f ca="1">ROUNDDOWN(YEARFRAC(_xlfn.XLOOKUP(A23,Matr,Consultants!C:C,0,0),TODAY()),0)</f>
        <v>48</v>
      </c>
      <c r="D23">
        <f>SUMIFS(Deplacements!J:J,Matr_Deplacements,TableauDom[[#This Row],[Matr]],Domaine_Deplacements,TableauDom[[#This Row],[Expertise]])</f>
        <v>0</v>
      </c>
    </row>
    <row r="24" spans="1:4" x14ac:dyDescent="0.2">
      <c r="A24">
        <v>4733</v>
      </c>
      <c r="B24" t="s">
        <v>28</v>
      </c>
      <c r="C24">
        <f ca="1">ROUNDDOWN(YEARFRAC(_xlfn.XLOOKUP(A24,Matr,Consultants!C:C,0,0),TODAY()),0)</f>
        <v>51</v>
      </c>
      <c r="D24">
        <f>SUMIFS(Deplacements!J:J,Matr_Deplacements,TableauDom[[#This Row],[Matr]],Domaine_Deplacements,TableauDom[[#This Row],[Expertise]])</f>
        <v>0</v>
      </c>
    </row>
    <row r="25" spans="1:4" x14ac:dyDescent="0.2">
      <c r="A25">
        <v>7175</v>
      </c>
      <c r="B25" t="s">
        <v>29</v>
      </c>
      <c r="C25">
        <f ca="1">ROUNDDOWN(YEARFRAC(_xlfn.XLOOKUP(A25,Matr,Consultants!C:C,0,0),TODAY()),0)</f>
        <v>34</v>
      </c>
      <c r="D25">
        <f>SUMIFS(Deplacements!J:J,Matr_Deplacements,TableauDom[[#This Row],[Matr]],Domaine_Deplacements,TableauDom[[#This Row],[Expertise]])</f>
        <v>30</v>
      </c>
    </row>
    <row r="26" spans="1:4" x14ac:dyDescent="0.2">
      <c r="A26">
        <v>5607</v>
      </c>
      <c r="B26" t="s">
        <v>25</v>
      </c>
      <c r="C26">
        <f ca="1">ROUNDDOWN(YEARFRAC(_xlfn.XLOOKUP(A26,Matr,Consultants!C:C,0,0),TODAY()),0)</f>
        <v>27</v>
      </c>
      <c r="D26">
        <f>SUMIFS(Deplacements!J:J,Matr_Deplacements,TableauDom[[#This Row],[Matr]],Domaine_Deplacements,TableauDom[[#This Row],[Expertise]])</f>
        <v>8</v>
      </c>
    </row>
    <row r="27" spans="1:4" x14ac:dyDescent="0.2">
      <c r="A27">
        <v>5607</v>
      </c>
      <c r="B27" t="s">
        <v>28</v>
      </c>
      <c r="C27">
        <f ca="1">ROUNDDOWN(YEARFRAC(_xlfn.XLOOKUP(A27,Matr,Consultants!C:C,0,0),TODAY()),0)</f>
        <v>27</v>
      </c>
      <c r="D27">
        <f>SUMIFS(Deplacements!J:J,Matr_Deplacements,TableauDom[[#This Row],[Matr]],Domaine_Deplacements,TableauDom[[#This Row],[Expertise]])</f>
        <v>6</v>
      </c>
    </row>
    <row r="28" spans="1:4" x14ac:dyDescent="0.2">
      <c r="A28">
        <v>5607</v>
      </c>
      <c r="B28" t="s">
        <v>29</v>
      </c>
      <c r="C28">
        <f ca="1">ROUNDDOWN(YEARFRAC(_xlfn.XLOOKUP(A28,Matr,Consultants!C:C,0,0),TODAY()),0)</f>
        <v>27</v>
      </c>
      <c r="D28">
        <f>SUMIFS(Deplacements!J:J,Matr_Deplacements,TableauDom[[#This Row],[Matr]],Domaine_Deplacements,TableauDom[[#This Row],[Expertise]])</f>
        <v>44</v>
      </c>
    </row>
    <row r="29" spans="1:4" x14ac:dyDescent="0.2">
      <c r="A29">
        <v>4641</v>
      </c>
      <c r="B29" t="s">
        <v>27</v>
      </c>
      <c r="C29">
        <f ca="1">ROUNDDOWN(YEARFRAC(_xlfn.XLOOKUP(A29,Matr,Consultants!C:C,0,0),TODAY()),0)</f>
        <v>48</v>
      </c>
      <c r="D29">
        <f>SUMIFS(Deplacements!J:J,Matr_Deplacements,TableauDom[[#This Row],[Matr]],Domaine_Deplacements,TableauDom[[#This Row],[Expertise]])</f>
        <v>14</v>
      </c>
    </row>
    <row r="30" spans="1:4" x14ac:dyDescent="0.2">
      <c r="A30">
        <v>4641</v>
      </c>
      <c r="B30" t="s">
        <v>26</v>
      </c>
      <c r="C30">
        <f ca="1">ROUNDDOWN(YEARFRAC(_xlfn.XLOOKUP(A30,Matr,Consultants!C:C,0,0),TODAY()),0)</f>
        <v>48</v>
      </c>
      <c r="D30">
        <f>SUMIFS(Deplacements!J:J,Matr_Deplacements,TableauDom[[#This Row],[Matr]],Domaine_Deplacements,TableauDom[[#This Row],[Expertise]])</f>
        <v>6</v>
      </c>
    </row>
    <row r="31" spans="1:4" x14ac:dyDescent="0.2">
      <c r="A31">
        <v>4641</v>
      </c>
      <c r="B31" t="s">
        <v>28</v>
      </c>
      <c r="C31">
        <f ca="1">ROUNDDOWN(YEARFRAC(_xlfn.XLOOKUP(A31,Matr,Consultants!C:C,0,0),TODAY()),0)</f>
        <v>48</v>
      </c>
      <c r="D31">
        <f>SUMIFS(Deplacements!J:J,Matr_Deplacements,TableauDom[[#This Row],[Matr]],Domaine_Deplacements,TableauDom[[#This Row],[Expertise]])</f>
        <v>6</v>
      </c>
    </row>
    <row r="32" spans="1:4" x14ac:dyDescent="0.2">
      <c r="A32">
        <v>4744</v>
      </c>
      <c r="B32" t="s">
        <v>27</v>
      </c>
      <c r="C32">
        <f ca="1">ROUNDDOWN(YEARFRAC(_xlfn.XLOOKUP(A32,Matr,Consultants!C:C,0,0),TODAY()),0)</f>
        <v>46</v>
      </c>
      <c r="D32">
        <f>SUMIFS(Deplacements!J:J,Matr_Deplacements,TableauDom[[#This Row],[Matr]],Domaine_Deplacements,TableauDom[[#This Row],[Expertise]])</f>
        <v>12</v>
      </c>
    </row>
    <row r="33" spans="1:4" x14ac:dyDescent="0.2">
      <c r="A33">
        <v>4744</v>
      </c>
      <c r="B33" t="s">
        <v>28</v>
      </c>
      <c r="C33">
        <f ca="1">ROUNDDOWN(YEARFRAC(_xlfn.XLOOKUP(A33,Matr,Consultants!C:C,0,0),TODAY()),0)</f>
        <v>46</v>
      </c>
      <c r="D33">
        <f>SUMIFS(Deplacements!J:J,Matr_Deplacements,TableauDom[[#This Row],[Matr]],Domaine_Deplacements,TableauDom[[#This Row],[Expertise]])</f>
        <v>6</v>
      </c>
    </row>
    <row r="34" spans="1:4" x14ac:dyDescent="0.2">
      <c r="A34">
        <v>4744</v>
      </c>
      <c r="B34" t="s">
        <v>25</v>
      </c>
      <c r="C34">
        <f ca="1">ROUNDDOWN(YEARFRAC(_xlfn.XLOOKUP(A34,Matr,Consultants!C:C,0,0),TODAY()),0)</f>
        <v>46</v>
      </c>
      <c r="D34">
        <f>SUMIFS(Deplacements!J:J,Matr_Deplacements,TableauDom[[#This Row],[Matr]],Domaine_Deplacements,TableauDom[[#This Row],[Expertise]])</f>
        <v>12</v>
      </c>
    </row>
    <row r="35" spans="1:4" x14ac:dyDescent="0.2">
      <c r="A35">
        <v>1435</v>
      </c>
      <c r="B35" t="s">
        <v>25</v>
      </c>
      <c r="C35">
        <f ca="1">ROUNDDOWN(YEARFRAC(_xlfn.XLOOKUP(A35,Matr,Consultants!C:C,0,0),TODAY()),0)</f>
        <v>37</v>
      </c>
      <c r="D35">
        <f>SUMIFS(Deplacements!J:J,Matr_Deplacements,TableauDom[[#This Row],[Matr]],Domaine_Deplacements,TableauDom[[#This Row],[Expertise]])</f>
        <v>9</v>
      </c>
    </row>
    <row r="36" spans="1:4" x14ac:dyDescent="0.2">
      <c r="A36">
        <v>8195</v>
      </c>
      <c r="B36" t="s">
        <v>27</v>
      </c>
      <c r="C36">
        <f ca="1">ROUNDDOWN(YEARFRAC(_xlfn.XLOOKUP(A36,Matr,Consultants!C:C,0,0),TODAY()),0)</f>
        <v>50</v>
      </c>
      <c r="D36">
        <f>SUMIFS(Deplacements!J:J,Matr_Deplacements,TableauDom[[#This Row],[Matr]],Domaine_Deplacements,TableauDom[[#This Row],[Expertise]])</f>
        <v>13</v>
      </c>
    </row>
    <row r="37" spans="1:4" x14ac:dyDescent="0.2">
      <c r="A37">
        <v>8195</v>
      </c>
      <c r="B37" t="s">
        <v>25</v>
      </c>
      <c r="C37">
        <f ca="1">ROUNDDOWN(YEARFRAC(_xlfn.XLOOKUP(A37,Matr,Consultants!C:C,0,0),TODAY()),0)</f>
        <v>50</v>
      </c>
      <c r="D37">
        <f>SUMIFS(Deplacements!J:J,Matr_Deplacements,TableauDom[[#This Row],[Matr]],Domaine_Deplacements,TableauDom[[#This Row],[Expertise]])</f>
        <v>4</v>
      </c>
    </row>
    <row r="38" spans="1:4" x14ac:dyDescent="0.2">
      <c r="A38">
        <v>8195</v>
      </c>
      <c r="B38" t="s">
        <v>29</v>
      </c>
      <c r="C38">
        <f ca="1">ROUNDDOWN(YEARFRAC(_xlfn.XLOOKUP(A38,Matr,Consultants!C:C,0,0),TODAY()),0)</f>
        <v>50</v>
      </c>
      <c r="D38">
        <f>SUMIFS(Deplacements!J:J,Matr_Deplacements,TableauDom[[#This Row],[Matr]],Domaine_Deplacements,TableauDom[[#This Row],[Expertise]])</f>
        <v>37</v>
      </c>
    </row>
    <row r="39" spans="1:4" x14ac:dyDescent="0.2">
      <c r="A39">
        <v>3772</v>
      </c>
      <c r="B39" t="s">
        <v>28</v>
      </c>
      <c r="C39">
        <f ca="1">ROUNDDOWN(YEARFRAC(_xlfn.XLOOKUP(A39,Matr,Consultants!C:C,0,0),TODAY()),0)</f>
        <v>41</v>
      </c>
      <c r="D39">
        <f>SUMIFS(Deplacements!J:J,Matr_Deplacements,TableauDom[[#This Row],[Matr]],Domaine_Deplacements,TableauDom[[#This Row],[Expertise]])</f>
        <v>0</v>
      </c>
    </row>
    <row r="40" spans="1:4" x14ac:dyDescent="0.2">
      <c r="A40">
        <v>3772</v>
      </c>
      <c r="B40" t="s">
        <v>29</v>
      </c>
      <c r="C40">
        <f ca="1">ROUNDDOWN(YEARFRAC(_xlfn.XLOOKUP(A40,Matr,Consultants!C:C,0,0),TODAY()),0)</f>
        <v>41</v>
      </c>
      <c r="D40">
        <f>SUMIFS(Deplacements!J:J,Matr_Deplacements,TableauDom[[#This Row],[Matr]],Domaine_Deplacements,TableauDom[[#This Row],[Expertise]])</f>
        <v>27</v>
      </c>
    </row>
    <row r="41" spans="1:4" x14ac:dyDescent="0.2">
      <c r="A41">
        <v>3772</v>
      </c>
      <c r="B41" t="s">
        <v>26</v>
      </c>
      <c r="C41">
        <f ca="1">ROUNDDOWN(YEARFRAC(_xlfn.XLOOKUP(A41,Matr,Consultants!C:C,0,0),TODAY()),0)</f>
        <v>41</v>
      </c>
      <c r="D41">
        <f>SUMIFS(Deplacements!J:J,Matr_Deplacements,TableauDom[[#This Row],[Matr]],Domaine_Deplacements,TableauDom[[#This Row],[Expertise]])</f>
        <v>11</v>
      </c>
    </row>
    <row r="42" spans="1:4" x14ac:dyDescent="0.2">
      <c r="A42">
        <v>8988</v>
      </c>
      <c r="B42" t="s">
        <v>26</v>
      </c>
      <c r="C42">
        <f ca="1">ROUNDDOWN(YEARFRAC(_xlfn.XLOOKUP(A42,Matr,Consultants!C:C,0,0),TODAY()),0)</f>
        <v>26</v>
      </c>
      <c r="D42">
        <f>SUMIFS(Deplacements!J:J,Matr_Deplacements,TableauDom[[#This Row],[Matr]],Domaine_Deplacements,TableauDom[[#This Row],[Expertise]])</f>
        <v>0</v>
      </c>
    </row>
    <row r="43" spans="1:4" x14ac:dyDescent="0.2">
      <c r="A43">
        <v>8988</v>
      </c>
      <c r="B43" t="s">
        <v>25</v>
      </c>
      <c r="C43">
        <f ca="1">ROUNDDOWN(YEARFRAC(_xlfn.XLOOKUP(A43,Matr,Consultants!C:C,0,0),TODAY()),0)</f>
        <v>26</v>
      </c>
      <c r="D43">
        <f>SUMIFS(Deplacements!J:J,Matr_Deplacements,TableauDom[[#This Row],[Matr]],Domaine_Deplacements,TableauDom[[#This Row],[Expertise]])</f>
        <v>14</v>
      </c>
    </row>
    <row r="44" spans="1:4" x14ac:dyDescent="0.2">
      <c r="A44">
        <v>4359</v>
      </c>
      <c r="B44" t="s">
        <v>29</v>
      </c>
      <c r="C44">
        <f ca="1">ROUNDDOWN(YEARFRAC(_xlfn.XLOOKUP(A44,Matr,Consultants!C:C,0,0),TODAY()),0)</f>
        <v>27</v>
      </c>
      <c r="D44">
        <f>SUMIFS(Deplacements!J:J,Matr_Deplacements,TableauDom[[#This Row],[Matr]],Domaine_Deplacements,TableauDom[[#This Row],[Expertise]])</f>
        <v>32</v>
      </c>
    </row>
    <row r="45" spans="1:4" x14ac:dyDescent="0.2">
      <c r="A45">
        <v>4359</v>
      </c>
      <c r="B45" t="s">
        <v>26</v>
      </c>
      <c r="C45">
        <f ca="1">ROUNDDOWN(YEARFRAC(_xlfn.XLOOKUP(A45,Matr,Consultants!C:C,0,0),TODAY()),0)</f>
        <v>27</v>
      </c>
      <c r="D45">
        <f>SUMIFS(Deplacements!J:J,Matr_Deplacements,TableauDom[[#This Row],[Matr]],Domaine_Deplacements,TableauDom[[#This Row],[Expertise]])</f>
        <v>10</v>
      </c>
    </row>
    <row r="46" spans="1:4" x14ac:dyDescent="0.2">
      <c r="A46">
        <v>4359</v>
      </c>
      <c r="B46" t="s">
        <v>200</v>
      </c>
      <c r="C46">
        <f ca="1">ROUNDDOWN(YEARFRAC(_xlfn.XLOOKUP(A46,Matr,Consultants!C:C,0,0),TODAY()),0)</f>
        <v>27</v>
      </c>
      <c r="D46">
        <f>SUMIFS(Deplacements!J:J,Matr_Deplacements,TableauDom[[#This Row],[Matr]],Domaine_Deplacements,TableauDom[[#This Row],[Expertise]])</f>
        <v>0</v>
      </c>
    </row>
  </sheetData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6"/>
  <sheetViews>
    <sheetView workbookViewId="0">
      <selection activeCell="H2" sqref="H2"/>
    </sheetView>
  </sheetViews>
  <sheetFormatPr baseColWidth="10" defaultColWidth="8.83203125" defaultRowHeight="15" x14ac:dyDescent="0.2"/>
  <cols>
    <col min="3" max="3" width="10.33203125" style="5" bestFit="1" customWidth="1"/>
    <col min="4" max="4" width="10.6640625" style="5" customWidth="1"/>
    <col min="5" max="5" width="14.33203125" customWidth="1"/>
    <col min="6" max="6" width="13" style="3" customWidth="1"/>
    <col min="7" max="7" width="17" style="3" customWidth="1"/>
    <col min="8" max="8" width="16.83203125" customWidth="1"/>
  </cols>
  <sheetData>
    <row r="1" spans="1:8" x14ac:dyDescent="0.2">
      <c r="A1" s="1" t="s">
        <v>0</v>
      </c>
      <c r="B1" s="1" t="s">
        <v>30</v>
      </c>
      <c r="C1" s="4" t="s">
        <v>31</v>
      </c>
      <c r="D1" s="4" t="s">
        <v>32</v>
      </c>
      <c r="E1" s="1" t="s">
        <v>33</v>
      </c>
      <c r="F1" s="2" t="s">
        <v>34</v>
      </c>
      <c r="G1" s="2" t="s">
        <v>35</v>
      </c>
      <c r="H1" s="2" t="s">
        <v>292</v>
      </c>
    </row>
    <row r="2" spans="1:8" x14ac:dyDescent="0.2">
      <c r="A2">
        <v>5607</v>
      </c>
      <c r="B2" t="s">
        <v>36</v>
      </c>
      <c r="C2" s="5">
        <v>3289</v>
      </c>
      <c r="D2" s="5">
        <v>146</v>
      </c>
      <c r="E2">
        <v>38</v>
      </c>
      <c r="F2" s="3">
        <v>43010</v>
      </c>
      <c r="G2" s="3">
        <v>43239</v>
      </c>
      <c r="H2" s="22" t="str">
        <f t="shared" ref="H2:H33" si="0">_xlfn.CONCAT(A2,"-",F2)</f>
        <v>5607-43010</v>
      </c>
    </row>
    <row r="3" spans="1:8" x14ac:dyDescent="0.2">
      <c r="A3">
        <v>7063</v>
      </c>
      <c r="B3" t="s">
        <v>36</v>
      </c>
      <c r="C3" s="5">
        <v>3657</v>
      </c>
      <c r="D3" s="5">
        <v>152</v>
      </c>
      <c r="E3">
        <v>32</v>
      </c>
      <c r="F3" s="3">
        <v>43032</v>
      </c>
      <c r="G3" s="3">
        <v>43363</v>
      </c>
      <c r="H3" s="22" t="str">
        <f t="shared" si="0"/>
        <v>7063-43032</v>
      </c>
    </row>
    <row r="4" spans="1:8" x14ac:dyDescent="0.2">
      <c r="A4">
        <v>5607</v>
      </c>
      <c r="B4" t="s">
        <v>36</v>
      </c>
      <c r="C4" s="5">
        <v>3542</v>
      </c>
      <c r="D4" s="5">
        <v>130</v>
      </c>
      <c r="E4">
        <v>32</v>
      </c>
      <c r="F4" s="3">
        <v>43242</v>
      </c>
      <c r="G4" s="3">
        <v>43869</v>
      </c>
      <c r="H4" s="22" t="str">
        <f t="shared" si="0"/>
        <v>5607-43242</v>
      </c>
    </row>
    <row r="5" spans="1:8" x14ac:dyDescent="0.2">
      <c r="A5">
        <v>7063</v>
      </c>
      <c r="B5" t="s">
        <v>36</v>
      </c>
      <c r="C5" s="5">
        <v>5127</v>
      </c>
      <c r="D5" s="5">
        <v>150</v>
      </c>
      <c r="E5">
        <v>38</v>
      </c>
      <c r="F5" s="3">
        <v>43372</v>
      </c>
      <c r="G5" s="3">
        <v>43897</v>
      </c>
      <c r="H5" s="22" t="str">
        <f t="shared" si="0"/>
        <v>7063-43372</v>
      </c>
    </row>
    <row r="6" spans="1:8" x14ac:dyDescent="0.2">
      <c r="A6">
        <v>4359</v>
      </c>
      <c r="B6" t="s">
        <v>36</v>
      </c>
      <c r="C6" s="5">
        <v>5543</v>
      </c>
      <c r="D6" s="5">
        <v>250</v>
      </c>
      <c r="E6">
        <v>32</v>
      </c>
      <c r="F6" s="3">
        <v>43524</v>
      </c>
      <c r="G6" s="3">
        <v>43648</v>
      </c>
      <c r="H6" s="22" t="str">
        <f t="shared" si="0"/>
        <v>4359-43524</v>
      </c>
    </row>
    <row r="7" spans="1:8" x14ac:dyDescent="0.2">
      <c r="A7">
        <v>4359</v>
      </c>
      <c r="B7" t="s">
        <v>36</v>
      </c>
      <c r="C7" s="5">
        <v>2670</v>
      </c>
      <c r="D7" s="5">
        <v>99</v>
      </c>
      <c r="E7">
        <v>38</v>
      </c>
      <c r="F7" s="3">
        <v>43650</v>
      </c>
      <c r="G7" s="3">
        <v>43796</v>
      </c>
      <c r="H7" s="22" t="str">
        <f t="shared" si="0"/>
        <v>4359-43650</v>
      </c>
    </row>
    <row r="8" spans="1:8" x14ac:dyDescent="0.2">
      <c r="A8">
        <v>6423</v>
      </c>
      <c r="B8" t="s">
        <v>36</v>
      </c>
      <c r="C8" s="5">
        <v>3613</v>
      </c>
      <c r="D8" s="5">
        <v>149</v>
      </c>
      <c r="E8">
        <v>32</v>
      </c>
      <c r="F8" s="3">
        <v>43692</v>
      </c>
      <c r="G8" s="3">
        <v>43863</v>
      </c>
      <c r="H8" s="22" t="str">
        <f t="shared" si="0"/>
        <v>6423-43692</v>
      </c>
    </row>
    <row r="9" spans="1:8" x14ac:dyDescent="0.2">
      <c r="A9">
        <v>4359</v>
      </c>
      <c r="B9" t="s">
        <v>36</v>
      </c>
      <c r="C9" s="5">
        <v>6659</v>
      </c>
      <c r="D9" s="5">
        <v>115</v>
      </c>
      <c r="E9">
        <v>38</v>
      </c>
      <c r="F9" s="3">
        <v>43807</v>
      </c>
      <c r="G9" s="3">
        <v>44210</v>
      </c>
      <c r="H9" s="22" t="str">
        <f t="shared" si="0"/>
        <v>4359-43807</v>
      </c>
    </row>
    <row r="10" spans="1:8" x14ac:dyDescent="0.2">
      <c r="A10">
        <v>6423</v>
      </c>
      <c r="B10" t="s">
        <v>36</v>
      </c>
      <c r="C10" s="5">
        <v>3250</v>
      </c>
      <c r="D10" s="5">
        <v>119</v>
      </c>
      <c r="E10">
        <v>30</v>
      </c>
      <c r="F10" s="3">
        <v>43867</v>
      </c>
      <c r="G10" s="3">
        <v>44043</v>
      </c>
      <c r="H10" s="22" t="str">
        <f t="shared" si="0"/>
        <v>6423-43867</v>
      </c>
    </row>
    <row r="11" spans="1:8" x14ac:dyDescent="0.2">
      <c r="A11">
        <v>5607</v>
      </c>
      <c r="B11" t="s">
        <v>36</v>
      </c>
      <c r="C11" s="5">
        <v>2989</v>
      </c>
      <c r="D11" s="5">
        <v>164</v>
      </c>
      <c r="E11">
        <v>30</v>
      </c>
      <c r="F11" s="3">
        <v>43874</v>
      </c>
      <c r="G11" s="3">
        <v>44339</v>
      </c>
      <c r="H11" s="22" t="str">
        <f t="shared" si="0"/>
        <v>5607-43874</v>
      </c>
    </row>
    <row r="12" spans="1:8" x14ac:dyDescent="0.2">
      <c r="A12">
        <v>7063</v>
      </c>
      <c r="B12" t="s">
        <v>37</v>
      </c>
      <c r="C12" s="5">
        <v>4020</v>
      </c>
      <c r="D12" s="5">
        <v>142</v>
      </c>
      <c r="E12">
        <v>38</v>
      </c>
      <c r="F12" s="3">
        <v>43903</v>
      </c>
      <c r="H12" s="22" t="str">
        <f t="shared" si="0"/>
        <v>7063-43903</v>
      </c>
    </row>
    <row r="13" spans="1:8" x14ac:dyDescent="0.2">
      <c r="A13">
        <v>5959</v>
      </c>
      <c r="B13" t="s">
        <v>36</v>
      </c>
      <c r="C13" s="5">
        <v>5695</v>
      </c>
      <c r="D13" s="5">
        <v>85</v>
      </c>
      <c r="E13">
        <v>35</v>
      </c>
      <c r="F13" s="3">
        <v>43974</v>
      </c>
      <c r="G13" s="3">
        <v>44374</v>
      </c>
      <c r="H13" s="22" t="str">
        <f t="shared" si="0"/>
        <v>5959-43974</v>
      </c>
    </row>
    <row r="14" spans="1:8" x14ac:dyDescent="0.2">
      <c r="A14">
        <v>1435</v>
      </c>
      <c r="B14" t="s">
        <v>36</v>
      </c>
      <c r="C14" s="5">
        <v>2629</v>
      </c>
      <c r="D14" s="5">
        <v>203</v>
      </c>
      <c r="E14">
        <v>32</v>
      </c>
      <c r="F14" s="3">
        <v>44012</v>
      </c>
      <c r="G14" s="3">
        <v>44265</v>
      </c>
      <c r="H14" s="22" t="str">
        <f t="shared" si="0"/>
        <v>1435-44012</v>
      </c>
    </row>
    <row r="15" spans="1:8" x14ac:dyDescent="0.2">
      <c r="A15">
        <v>6423</v>
      </c>
      <c r="B15" t="s">
        <v>36</v>
      </c>
      <c r="C15" s="5">
        <v>4948</v>
      </c>
      <c r="D15" s="5">
        <v>146</v>
      </c>
      <c r="E15">
        <v>32</v>
      </c>
      <c r="F15" s="3">
        <v>44052</v>
      </c>
      <c r="G15" s="3">
        <v>44305</v>
      </c>
      <c r="H15" s="22" t="str">
        <f t="shared" si="0"/>
        <v>6423-44052</v>
      </c>
    </row>
    <row r="16" spans="1:8" x14ac:dyDescent="0.2">
      <c r="A16">
        <v>4359</v>
      </c>
      <c r="B16" t="s">
        <v>36</v>
      </c>
      <c r="C16" s="5">
        <v>3929</v>
      </c>
      <c r="D16" s="5">
        <v>99</v>
      </c>
      <c r="E16">
        <v>30</v>
      </c>
      <c r="F16" s="3">
        <v>44224</v>
      </c>
      <c r="G16" s="3">
        <v>44340</v>
      </c>
      <c r="H16" s="22" t="str">
        <f t="shared" si="0"/>
        <v>4359-44224</v>
      </c>
    </row>
    <row r="17" spans="1:8" x14ac:dyDescent="0.2">
      <c r="A17">
        <v>1435</v>
      </c>
      <c r="B17" t="s">
        <v>36</v>
      </c>
      <c r="C17" s="5">
        <v>5506</v>
      </c>
      <c r="D17" s="5">
        <v>158</v>
      </c>
      <c r="E17">
        <v>30</v>
      </c>
      <c r="F17" s="3">
        <v>44278</v>
      </c>
      <c r="G17" s="3">
        <v>44906</v>
      </c>
      <c r="H17" s="22" t="str">
        <f t="shared" si="0"/>
        <v>1435-44278</v>
      </c>
    </row>
    <row r="18" spans="1:8" x14ac:dyDescent="0.2">
      <c r="A18">
        <v>6423</v>
      </c>
      <c r="B18" t="s">
        <v>36</v>
      </c>
      <c r="C18" s="5">
        <v>5054</v>
      </c>
      <c r="D18" s="5">
        <v>113</v>
      </c>
      <c r="E18">
        <v>32</v>
      </c>
      <c r="F18" s="3">
        <v>44314</v>
      </c>
      <c r="G18" s="3">
        <v>44412</v>
      </c>
      <c r="H18" s="22" t="str">
        <f t="shared" si="0"/>
        <v>6423-44314</v>
      </c>
    </row>
    <row r="19" spans="1:8" x14ac:dyDescent="0.2">
      <c r="A19">
        <v>8195</v>
      </c>
      <c r="B19" t="s">
        <v>36</v>
      </c>
      <c r="C19" s="5">
        <v>6299</v>
      </c>
      <c r="D19" s="5">
        <v>149</v>
      </c>
      <c r="E19">
        <v>30</v>
      </c>
      <c r="F19" s="3">
        <v>44331</v>
      </c>
      <c r="G19" s="3">
        <v>44726</v>
      </c>
      <c r="H19" s="22" t="str">
        <f t="shared" si="0"/>
        <v>8195-44331</v>
      </c>
    </row>
    <row r="20" spans="1:8" x14ac:dyDescent="0.2">
      <c r="A20">
        <v>5607</v>
      </c>
      <c r="B20" t="s">
        <v>36</v>
      </c>
      <c r="C20" s="5">
        <v>2703</v>
      </c>
      <c r="D20" s="5">
        <v>240</v>
      </c>
      <c r="E20">
        <v>38</v>
      </c>
      <c r="F20" s="3">
        <v>44344</v>
      </c>
      <c r="G20" s="3">
        <v>44650</v>
      </c>
      <c r="H20" s="22" t="str">
        <f t="shared" si="0"/>
        <v>5607-44344</v>
      </c>
    </row>
    <row r="21" spans="1:8" x14ac:dyDescent="0.2">
      <c r="A21">
        <v>4359</v>
      </c>
      <c r="B21" t="s">
        <v>37</v>
      </c>
      <c r="C21" s="5">
        <v>3639</v>
      </c>
      <c r="D21" s="5">
        <v>102</v>
      </c>
      <c r="E21">
        <v>32</v>
      </c>
      <c r="F21" s="3">
        <v>44349</v>
      </c>
      <c r="H21" s="22" t="str">
        <f t="shared" si="0"/>
        <v>4359-44349</v>
      </c>
    </row>
    <row r="22" spans="1:8" x14ac:dyDescent="0.2">
      <c r="A22">
        <v>5959</v>
      </c>
      <c r="B22" t="s">
        <v>37</v>
      </c>
      <c r="C22" s="5">
        <v>6316</v>
      </c>
      <c r="D22" s="5">
        <v>198</v>
      </c>
      <c r="E22">
        <v>35</v>
      </c>
      <c r="F22" s="3">
        <v>44388</v>
      </c>
      <c r="H22" s="22" t="str">
        <f t="shared" si="0"/>
        <v>5959-44388</v>
      </c>
    </row>
    <row r="23" spans="1:8" x14ac:dyDescent="0.2">
      <c r="A23">
        <v>6423</v>
      </c>
      <c r="B23" t="s">
        <v>37</v>
      </c>
      <c r="C23" s="5">
        <v>6697</v>
      </c>
      <c r="D23" s="5">
        <v>209</v>
      </c>
      <c r="E23">
        <v>38</v>
      </c>
      <c r="F23" s="3">
        <v>44418</v>
      </c>
      <c r="H23" s="22" t="str">
        <f t="shared" si="0"/>
        <v>6423-44418</v>
      </c>
    </row>
    <row r="24" spans="1:8" x14ac:dyDescent="0.2">
      <c r="A24">
        <v>3582</v>
      </c>
      <c r="B24" t="s">
        <v>36</v>
      </c>
      <c r="C24" s="5">
        <v>5977</v>
      </c>
      <c r="D24" s="5">
        <v>170</v>
      </c>
      <c r="E24">
        <v>30</v>
      </c>
      <c r="F24" s="3">
        <v>44498</v>
      </c>
      <c r="G24" s="3">
        <v>44640</v>
      </c>
      <c r="H24" s="22" t="str">
        <f t="shared" si="0"/>
        <v>3582-44498</v>
      </c>
    </row>
    <row r="25" spans="1:8" x14ac:dyDescent="0.2">
      <c r="A25">
        <v>7954</v>
      </c>
      <c r="B25" t="s">
        <v>36</v>
      </c>
      <c r="C25" s="5">
        <v>4449</v>
      </c>
      <c r="D25" s="5">
        <v>85</v>
      </c>
      <c r="E25">
        <v>35</v>
      </c>
      <c r="F25" s="3">
        <v>44557</v>
      </c>
      <c r="G25" s="3">
        <v>44944</v>
      </c>
      <c r="H25" s="22" t="str">
        <f t="shared" si="0"/>
        <v>7954-44557</v>
      </c>
    </row>
    <row r="26" spans="1:8" x14ac:dyDescent="0.2">
      <c r="A26">
        <v>3542</v>
      </c>
      <c r="B26" t="s">
        <v>36</v>
      </c>
      <c r="C26" s="5">
        <v>4622</v>
      </c>
      <c r="D26" s="5">
        <v>157</v>
      </c>
      <c r="E26">
        <v>38</v>
      </c>
      <c r="F26" s="3">
        <v>44558</v>
      </c>
      <c r="G26" s="3">
        <v>45229</v>
      </c>
      <c r="H26" s="22" t="str">
        <f t="shared" si="0"/>
        <v>3542-44558</v>
      </c>
    </row>
    <row r="27" spans="1:8" x14ac:dyDescent="0.2">
      <c r="A27">
        <v>4744</v>
      </c>
      <c r="B27" t="s">
        <v>37</v>
      </c>
      <c r="C27" s="5">
        <v>3532</v>
      </c>
      <c r="D27" s="5">
        <v>127</v>
      </c>
      <c r="E27">
        <v>32</v>
      </c>
      <c r="F27" s="3">
        <v>44601</v>
      </c>
      <c r="H27" s="22" t="str">
        <f t="shared" si="0"/>
        <v>4744-44601</v>
      </c>
    </row>
    <row r="28" spans="1:8" x14ac:dyDescent="0.2">
      <c r="A28">
        <v>3582</v>
      </c>
      <c r="B28" t="s">
        <v>36</v>
      </c>
      <c r="C28" s="5">
        <v>4879</v>
      </c>
      <c r="D28" s="5">
        <v>99</v>
      </c>
      <c r="E28">
        <v>35</v>
      </c>
      <c r="F28" s="3">
        <v>44650</v>
      </c>
      <c r="G28" s="3">
        <v>44881</v>
      </c>
      <c r="H28" s="22" t="str">
        <f t="shared" si="0"/>
        <v>3582-44650</v>
      </c>
    </row>
    <row r="29" spans="1:8" x14ac:dyDescent="0.2">
      <c r="A29">
        <v>5607</v>
      </c>
      <c r="B29" t="s">
        <v>37</v>
      </c>
      <c r="C29" s="5">
        <v>3805</v>
      </c>
      <c r="D29" s="5">
        <v>104</v>
      </c>
      <c r="E29">
        <v>38</v>
      </c>
      <c r="F29" s="3">
        <v>44656</v>
      </c>
      <c r="H29" s="22" t="str">
        <f t="shared" si="0"/>
        <v>5607-44656</v>
      </c>
    </row>
    <row r="30" spans="1:8" x14ac:dyDescent="0.2">
      <c r="A30">
        <v>5211</v>
      </c>
      <c r="B30" t="s">
        <v>37</v>
      </c>
      <c r="C30" s="5">
        <v>2585</v>
      </c>
      <c r="D30" s="5">
        <v>177</v>
      </c>
      <c r="E30">
        <v>38</v>
      </c>
      <c r="F30" s="3">
        <v>44666</v>
      </c>
      <c r="H30" s="22" t="str">
        <f t="shared" si="0"/>
        <v>5211-44666</v>
      </c>
    </row>
    <row r="31" spans="1:8" x14ac:dyDescent="0.2">
      <c r="A31">
        <v>8195</v>
      </c>
      <c r="B31" t="s">
        <v>36</v>
      </c>
      <c r="C31" s="5">
        <v>5074</v>
      </c>
      <c r="D31" s="5">
        <v>203</v>
      </c>
      <c r="E31">
        <v>30</v>
      </c>
      <c r="F31" s="3">
        <v>44739</v>
      </c>
      <c r="G31" s="3">
        <v>45395</v>
      </c>
      <c r="H31" s="22" t="str">
        <f t="shared" si="0"/>
        <v>8195-44739</v>
      </c>
    </row>
    <row r="32" spans="1:8" x14ac:dyDescent="0.2">
      <c r="A32">
        <v>8988</v>
      </c>
      <c r="B32" t="s">
        <v>36</v>
      </c>
      <c r="C32" s="5">
        <v>5607</v>
      </c>
      <c r="D32" s="5">
        <v>150</v>
      </c>
      <c r="E32">
        <v>38</v>
      </c>
      <c r="F32" s="3">
        <v>44790</v>
      </c>
      <c r="G32" s="3">
        <v>45049</v>
      </c>
      <c r="H32" s="22" t="str">
        <f t="shared" si="0"/>
        <v>8988-44790</v>
      </c>
    </row>
    <row r="33" spans="1:8" x14ac:dyDescent="0.2">
      <c r="A33">
        <v>3582</v>
      </c>
      <c r="B33" t="s">
        <v>36</v>
      </c>
      <c r="C33" s="5">
        <v>4398</v>
      </c>
      <c r="D33" s="5">
        <v>193</v>
      </c>
      <c r="E33">
        <v>38</v>
      </c>
      <c r="F33" s="3">
        <v>44890</v>
      </c>
      <c r="G33" s="3">
        <v>45558</v>
      </c>
      <c r="H33" s="22" t="str">
        <f t="shared" si="0"/>
        <v>3582-44890</v>
      </c>
    </row>
    <row r="34" spans="1:8" x14ac:dyDescent="0.2">
      <c r="A34">
        <v>1435</v>
      </c>
      <c r="B34" t="s">
        <v>36</v>
      </c>
      <c r="C34" s="5">
        <v>6214</v>
      </c>
      <c r="D34" s="5">
        <v>135</v>
      </c>
      <c r="E34">
        <v>38</v>
      </c>
      <c r="F34" s="3">
        <v>44914</v>
      </c>
      <c r="G34" s="3">
        <v>45096</v>
      </c>
      <c r="H34" s="22" t="str">
        <f t="shared" ref="H34:H66" si="1">_xlfn.CONCAT(A34,"-",F34)</f>
        <v>1435-44914</v>
      </c>
    </row>
    <row r="35" spans="1:8" x14ac:dyDescent="0.2">
      <c r="A35">
        <v>7954</v>
      </c>
      <c r="B35" t="s">
        <v>37</v>
      </c>
      <c r="C35" s="5">
        <v>4791</v>
      </c>
      <c r="D35" s="5">
        <v>115</v>
      </c>
      <c r="E35">
        <v>38</v>
      </c>
      <c r="F35" s="3">
        <v>44958</v>
      </c>
      <c r="H35" s="22" t="str">
        <f t="shared" si="1"/>
        <v>7954-44958</v>
      </c>
    </row>
    <row r="36" spans="1:8" x14ac:dyDescent="0.2">
      <c r="A36">
        <v>8810</v>
      </c>
      <c r="B36" t="s">
        <v>36</v>
      </c>
      <c r="C36" s="5">
        <v>3432</v>
      </c>
      <c r="D36" s="5">
        <v>109</v>
      </c>
      <c r="E36">
        <v>38</v>
      </c>
      <c r="F36" s="3">
        <v>44991</v>
      </c>
      <c r="G36" s="3">
        <v>45296</v>
      </c>
      <c r="H36" s="22" t="str">
        <f t="shared" si="1"/>
        <v>8810-44991</v>
      </c>
    </row>
    <row r="37" spans="1:8" x14ac:dyDescent="0.2">
      <c r="A37">
        <v>8988</v>
      </c>
      <c r="B37" t="s">
        <v>36</v>
      </c>
      <c r="C37" s="5">
        <v>3206</v>
      </c>
      <c r="D37" s="5">
        <v>216</v>
      </c>
      <c r="E37">
        <v>32</v>
      </c>
      <c r="F37" s="3">
        <v>45059</v>
      </c>
      <c r="G37" s="3">
        <v>45679</v>
      </c>
      <c r="H37" s="22" t="str">
        <f t="shared" si="1"/>
        <v>8988-45059</v>
      </c>
    </row>
    <row r="38" spans="1:8" x14ac:dyDescent="0.2">
      <c r="A38">
        <v>1435</v>
      </c>
      <c r="B38" t="s">
        <v>36</v>
      </c>
      <c r="C38" s="5">
        <v>2815</v>
      </c>
      <c r="D38" s="5">
        <v>98</v>
      </c>
      <c r="E38">
        <v>35</v>
      </c>
      <c r="F38" s="3">
        <v>45107</v>
      </c>
      <c r="G38" s="3">
        <v>45273</v>
      </c>
      <c r="H38" s="22" t="str">
        <f t="shared" si="1"/>
        <v>1435-45107</v>
      </c>
    </row>
    <row r="39" spans="1:8" x14ac:dyDescent="0.2">
      <c r="A39">
        <v>3137</v>
      </c>
      <c r="B39" t="s">
        <v>36</v>
      </c>
      <c r="C39" s="5">
        <v>4786</v>
      </c>
      <c r="D39" s="5">
        <v>201</v>
      </c>
      <c r="E39">
        <v>38</v>
      </c>
      <c r="F39" s="3">
        <v>45117</v>
      </c>
      <c r="G39" s="3">
        <v>45549</v>
      </c>
      <c r="H39" s="22" t="str">
        <f t="shared" si="1"/>
        <v>3137-45117</v>
      </c>
    </row>
    <row r="40" spans="1:8" x14ac:dyDescent="0.2">
      <c r="A40">
        <v>4733</v>
      </c>
      <c r="B40" t="s">
        <v>36</v>
      </c>
      <c r="C40" s="5">
        <v>4779</v>
      </c>
      <c r="D40" s="5">
        <v>152</v>
      </c>
      <c r="E40">
        <v>30</v>
      </c>
      <c r="F40" s="3">
        <v>45161</v>
      </c>
      <c r="G40" s="3">
        <v>45446</v>
      </c>
      <c r="H40" s="22" t="str">
        <f t="shared" si="1"/>
        <v>4733-45161</v>
      </c>
    </row>
    <row r="41" spans="1:8" x14ac:dyDescent="0.2">
      <c r="A41">
        <v>3542</v>
      </c>
      <c r="B41" t="s">
        <v>36</v>
      </c>
      <c r="C41" s="5">
        <v>2484</v>
      </c>
      <c r="D41" s="5">
        <v>217</v>
      </c>
      <c r="E41">
        <v>35</v>
      </c>
      <c r="F41" s="3">
        <v>45239</v>
      </c>
      <c r="G41" s="3">
        <v>45336</v>
      </c>
      <c r="H41" s="22" t="str">
        <f t="shared" si="1"/>
        <v>3542-45239</v>
      </c>
    </row>
    <row r="42" spans="1:8" x14ac:dyDescent="0.2">
      <c r="A42">
        <v>3772</v>
      </c>
      <c r="B42" t="s">
        <v>36</v>
      </c>
      <c r="C42" s="5">
        <v>3032</v>
      </c>
      <c r="D42" s="5">
        <v>232</v>
      </c>
      <c r="E42">
        <v>35</v>
      </c>
      <c r="F42" s="3">
        <v>45266</v>
      </c>
      <c r="G42" s="3">
        <v>45426</v>
      </c>
      <c r="H42" s="22" t="str">
        <f t="shared" si="1"/>
        <v>3772-45266</v>
      </c>
    </row>
    <row r="43" spans="1:8" x14ac:dyDescent="0.2">
      <c r="A43">
        <v>1435</v>
      </c>
      <c r="B43" t="s">
        <v>37</v>
      </c>
      <c r="C43" s="5">
        <v>4578</v>
      </c>
      <c r="D43" s="5">
        <v>107</v>
      </c>
      <c r="E43">
        <v>35</v>
      </c>
      <c r="F43" s="3">
        <v>45276</v>
      </c>
      <c r="H43" s="22" t="str">
        <f t="shared" si="1"/>
        <v>1435-45276</v>
      </c>
    </row>
    <row r="44" spans="1:8" x14ac:dyDescent="0.2">
      <c r="A44">
        <v>8810</v>
      </c>
      <c r="B44" t="s">
        <v>36</v>
      </c>
      <c r="C44" s="5">
        <v>5858</v>
      </c>
      <c r="D44" s="5">
        <v>109</v>
      </c>
      <c r="E44">
        <v>30</v>
      </c>
      <c r="F44" s="3">
        <v>45297</v>
      </c>
      <c r="G44" s="3">
        <v>45593</v>
      </c>
      <c r="H44" s="22" t="str">
        <f t="shared" si="1"/>
        <v>8810-45297</v>
      </c>
    </row>
    <row r="45" spans="1:8" x14ac:dyDescent="0.2">
      <c r="A45">
        <v>3542</v>
      </c>
      <c r="B45" t="s">
        <v>36</v>
      </c>
      <c r="C45" s="5">
        <v>2404</v>
      </c>
      <c r="D45" s="5">
        <v>204</v>
      </c>
      <c r="E45">
        <v>32</v>
      </c>
      <c r="F45" s="3">
        <v>45342</v>
      </c>
      <c r="G45" s="3">
        <v>45659</v>
      </c>
      <c r="H45" s="22" t="str">
        <f t="shared" si="1"/>
        <v>3542-45342</v>
      </c>
    </row>
    <row r="46" spans="1:8" x14ac:dyDescent="0.2">
      <c r="A46">
        <v>8195</v>
      </c>
      <c r="B46" t="s">
        <v>37</v>
      </c>
      <c r="C46" s="5">
        <v>5436</v>
      </c>
      <c r="D46" s="5">
        <v>127</v>
      </c>
      <c r="E46">
        <v>38</v>
      </c>
      <c r="F46" s="3">
        <v>45407</v>
      </c>
      <c r="H46" s="22" t="str">
        <f t="shared" si="1"/>
        <v>8195-45407</v>
      </c>
    </row>
    <row r="47" spans="1:8" x14ac:dyDescent="0.2">
      <c r="A47">
        <v>4751</v>
      </c>
      <c r="B47" t="s">
        <v>36</v>
      </c>
      <c r="C47" s="5">
        <v>4623</v>
      </c>
      <c r="D47" s="5">
        <v>191</v>
      </c>
      <c r="E47">
        <v>35</v>
      </c>
      <c r="F47" s="3">
        <v>45422</v>
      </c>
      <c r="G47" s="3">
        <v>45639</v>
      </c>
      <c r="H47" s="22" t="str">
        <f t="shared" si="1"/>
        <v>4751-45422</v>
      </c>
    </row>
    <row r="48" spans="1:8" x14ac:dyDescent="0.2">
      <c r="A48">
        <v>3772</v>
      </c>
      <c r="B48" t="s">
        <v>36</v>
      </c>
      <c r="C48" s="5">
        <v>5561</v>
      </c>
      <c r="D48" s="5">
        <v>176</v>
      </c>
      <c r="E48">
        <v>30</v>
      </c>
      <c r="F48" s="3">
        <v>45434</v>
      </c>
      <c r="G48" s="3">
        <v>45645</v>
      </c>
      <c r="H48" s="22" t="str">
        <f t="shared" si="1"/>
        <v>3772-45434</v>
      </c>
    </row>
    <row r="49" spans="1:8" x14ac:dyDescent="0.2">
      <c r="A49">
        <v>4733</v>
      </c>
      <c r="B49" t="s">
        <v>36</v>
      </c>
      <c r="C49" s="5">
        <v>3971</v>
      </c>
      <c r="D49" s="5">
        <v>165</v>
      </c>
      <c r="E49">
        <v>32</v>
      </c>
      <c r="F49" s="3">
        <v>45458</v>
      </c>
      <c r="G49" s="3">
        <v>45630</v>
      </c>
      <c r="H49" s="22" t="str">
        <f t="shared" si="1"/>
        <v>4733-45458</v>
      </c>
    </row>
    <row r="50" spans="1:8" x14ac:dyDescent="0.2">
      <c r="A50">
        <v>3137</v>
      </c>
      <c r="B50" t="s">
        <v>36</v>
      </c>
      <c r="C50" s="5">
        <v>3439</v>
      </c>
      <c r="D50" s="5">
        <v>159</v>
      </c>
      <c r="E50">
        <v>32</v>
      </c>
      <c r="F50" s="3">
        <v>45560</v>
      </c>
      <c r="G50" s="3">
        <v>45822</v>
      </c>
      <c r="H50" s="22" t="str">
        <f t="shared" si="1"/>
        <v>3137-45560</v>
      </c>
    </row>
    <row r="51" spans="1:8" x14ac:dyDescent="0.2">
      <c r="A51">
        <v>7175</v>
      </c>
      <c r="B51" t="s">
        <v>36</v>
      </c>
      <c r="C51" s="5">
        <v>6444</v>
      </c>
      <c r="D51" s="5">
        <v>125</v>
      </c>
      <c r="E51">
        <v>32</v>
      </c>
      <c r="F51" s="3">
        <v>45562</v>
      </c>
      <c r="G51" s="3">
        <v>46018</v>
      </c>
      <c r="H51" s="22" t="str">
        <f t="shared" si="1"/>
        <v>7175-45562</v>
      </c>
    </row>
    <row r="52" spans="1:8" x14ac:dyDescent="0.2">
      <c r="A52">
        <v>3582</v>
      </c>
      <c r="B52" t="s">
        <v>37</v>
      </c>
      <c r="C52" s="5">
        <v>6607</v>
      </c>
      <c r="D52" s="5">
        <v>84</v>
      </c>
      <c r="E52">
        <v>35</v>
      </c>
      <c r="F52" s="3">
        <v>45568</v>
      </c>
      <c r="H52" s="22" t="str">
        <f t="shared" si="1"/>
        <v>3582-45568</v>
      </c>
    </row>
    <row r="53" spans="1:8" x14ac:dyDescent="0.2">
      <c r="A53">
        <v>4641</v>
      </c>
      <c r="B53" t="s">
        <v>36</v>
      </c>
      <c r="C53" s="5">
        <v>3129</v>
      </c>
      <c r="D53" s="5">
        <v>242</v>
      </c>
      <c r="E53">
        <v>35</v>
      </c>
      <c r="F53" s="3">
        <v>45576</v>
      </c>
      <c r="G53" s="3">
        <v>46003</v>
      </c>
      <c r="H53" s="22" t="str">
        <f t="shared" si="1"/>
        <v>4641-45576</v>
      </c>
    </row>
    <row r="54" spans="1:8" x14ac:dyDescent="0.2">
      <c r="A54">
        <v>8810</v>
      </c>
      <c r="B54" t="s">
        <v>36</v>
      </c>
      <c r="C54" s="5">
        <v>6746</v>
      </c>
      <c r="D54" s="5">
        <v>131</v>
      </c>
      <c r="E54">
        <v>38</v>
      </c>
      <c r="F54" s="3">
        <v>45605</v>
      </c>
      <c r="G54" s="3">
        <v>46018</v>
      </c>
      <c r="H54" s="22" t="str">
        <f t="shared" si="1"/>
        <v>8810-45605</v>
      </c>
    </row>
    <row r="55" spans="1:8" x14ac:dyDescent="0.2">
      <c r="A55">
        <v>4733</v>
      </c>
      <c r="B55" t="s">
        <v>37</v>
      </c>
      <c r="C55" s="5">
        <v>6497</v>
      </c>
      <c r="D55" s="5">
        <v>194</v>
      </c>
      <c r="E55">
        <v>30</v>
      </c>
      <c r="F55" s="3">
        <v>45635</v>
      </c>
      <c r="H55" s="22" t="str">
        <f t="shared" si="1"/>
        <v>4733-45635</v>
      </c>
    </row>
    <row r="56" spans="1:8" x14ac:dyDescent="0.2">
      <c r="A56">
        <v>4751</v>
      </c>
      <c r="B56" t="s">
        <v>36</v>
      </c>
      <c r="C56" s="5">
        <v>3294</v>
      </c>
      <c r="D56" s="5">
        <v>146</v>
      </c>
      <c r="E56">
        <v>30</v>
      </c>
      <c r="F56" s="3">
        <v>45650</v>
      </c>
      <c r="G56" s="3">
        <v>46370</v>
      </c>
      <c r="H56" s="22" t="str">
        <f t="shared" si="1"/>
        <v>4751-45650</v>
      </c>
    </row>
    <row r="57" spans="1:8" x14ac:dyDescent="0.2">
      <c r="A57">
        <v>3772</v>
      </c>
      <c r="B57" t="s">
        <v>36</v>
      </c>
      <c r="C57" s="5">
        <v>4034</v>
      </c>
      <c r="D57" s="5">
        <v>230</v>
      </c>
      <c r="E57">
        <v>35</v>
      </c>
      <c r="F57" s="3">
        <v>45658</v>
      </c>
      <c r="G57" s="3">
        <v>45934</v>
      </c>
      <c r="H57" s="22" t="str">
        <f t="shared" si="1"/>
        <v>3772-45658</v>
      </c>
    </row>
    <row r="58" spans="1:8" x14ac:dyDescent="0.2">
      <c r="A58">
        <v>3542</v>
      </c>
      <c r="B58" t="s">
        <v>36</v>
      </c>
      <c r="C58" s="5">
        <v>5652</v>
      </c>
      <c r="D58" s="5">
        <v>162</v>
      </c>
      <c r="E58">
        <v>38</v>
      </c>
      <c r="F58" s="3">
        <v>45672</v>
      </c>
      <c r="G58" s="3">
        <v>45924</v>
      </c>
      <c r="H58" s="22" t="str">
        <f t="shared" si="1"/>
        <v>3542-45672</v>
      </c>
    </row>
    <row r="59" spans="1:8" x14ac:dyDescent="0.2">
      <c r="A59">
        <v>8988</v>
      </c>
      <c r="B59" t="s">
        <v>36</v>
      </c>
      <c r="C59" s="5">
        <v>6033</v>
      </c>
      <c r="D59" s="5">
        <v>113</v>
      </c>
      <c r="E59">
        <v>38</v>
      </c>
      <c r="F59" s="3">
        <v>45682</v>
      </c>
      <c r="G59" s="3">
        <v>45773</v>
      </c>
      <c r="H59" s="22" t="str">
        <f t="shared" si="1"/>
        <v>8988-45682</v>
      </c>
    </row>
    <row r="60" spans="1:8" x14ac:dyDescent="0.2">
      <c r="A60">
        <v>8988</v>
      </c>
      <c r="B60" t="s">
        <v>37</v>
      </c>
      <c r="C60" s="5">
        <v>5018</v>
      </c>
      <c r="D60" s="5">
        <v>198</v>
      </c>
      <c r="E60">
        <v>32</v>
      </c>
      <c r="F60" s="3">
        <v>45781</v>
      </c>
      <c r="H60" s="22" t="str">
        <f t="shared" si="1"/>
        <v>8988-45781</v>
      </c>
    </row>
    <row r="61" spans="1:8" x14ac:dyDescent="0.2">
      <c r="A61">
        <v>3137</v>
      </c>
      <c r="B61" t="s">
        <v>36</v>
      </c>
      <c r="C61" s="5">
        <v>3798</v>
      </c>
      <c r="D61" s="5">
        <v>196</v>
      </c>
      <c r="E61">
        <v>32</v>
      </c>
      <c r="F61" s="3">
        <v>45833</v>
      </c>
      <c r="G61" s="3">
        <v>46553</v>
      </c>
      <c r="H61" s="22" t="str">
        <f t="shared" si="1"/>
        <v>3137-45833</v>
      </c>
    </row>
    <row r="62" spans="1:8" x14ac:dyDescent="0.2">
      <c r="A62">
        <v>3542</v>
      </c>
      <c r="B62" t="s">
        <v>37</v>
      </c>
      <c r="C62" s="5">
        <v>3265</v>
      </c>
      <c r="D62" s="5">
        <v>147</v>
      </c>
      <c r="E62">
        <v>35</v>
      </c>
      <c r="F62" s="3">
        <v>45932</v>
      </c>
      <c r="H62" s="22" t="str">
        <f t="shared" si="1"/>
        <v>3542-45932</v>
      </c>
    </row>
    <row r="63" spans="1:8" x14ac:dyDescent="0.2">
      <c r="A63">
        <v>3772</v>
      </c>
      <c r="B63" t="s">
        <v>36</v>
      </c>
      <c r="C63" s="5">
        <v>2696</v>
      </c>
      <c r="D63" s="5">
        <v>205</v>
      </c>
      <c r="E63">
        <v>38</v>
      </c>
      <c r="F63" s="3">
        <v>45945</v>
      </c>
      <c r="G63" s="3">
        <v>46305</v>
      </c>
      <c r="H63" s="22" t="str">
        <f t="shared" si="1"/>
        <v>3772-45945</v>
      </c>
    </row>
    <row r="64" spans="1:8" x14ac:dyDescent="0.2">
      <c r="A64">
        <v>4641</v>
      </c>
      <c r="B64" t="s">
        <v>36</v>
      </c>
      <c r="C64" s="5">
        <v>6027</v>
      </c>
      <c r="D64" s="5">
        <v>137</v>
      </c>
      <c r="E64">
        <v>32</v>
      </c>
      <c r="F64" s="3">
        <v>46010</v>
      </c>
      <c r="G64" s="3">
        <v>46550</v>
      </c>
      <c r="H64" s="22" t="str">
        <f t="shared" si="1"/>
        <v>4641-46010</v>
      </c>
    </row>
    <row r="65" spans="1:8" x14ac:dyDescent="0.2">
      <c r="A65">
        <v>7175</v>
      </c>
      <c r="B65" t="s">
        <v>36</v>
      </c>
      <c r="C65" s="5">
        <v>3343</v>
      </c>
      <c r="D65" s="5">
        <v>132</v>
      </c>
      <c r="E65">
        <v>38</v>
      </c>
      <c r="F65" s="3">
        <v>46027</v>
      </c>
      <c r="G65" s="3">
        <v>46567</v>
      </c>
      <c r="H65" s="22" t="str">
        <f t="shared" si="1"/>
        <v>7175-46027</v>
      </c>
    </row>
    <row r="66" spans="1:8" x14ac:dyDescent="0.2">
      <c r="A66">
        <v>8810</v>
      </c>
      <c r="B66" t="s">
        <v>36</v>
      </c>
      <c r="C66" s="5">
        <v>4605</v>
      </c>
      <c r="D66" s="5">
        <v>187</v>
      </c>
      <c r="E66">
        <v>32</v>
      </c>
      <c r="F66" s="3">
        <v>46033</v>
      </c>
      <c r="G66" s="3">
        <v>46573</v>
      </c>
      <c r="H66" s="22" t="str">
        <f t="shared" si="1"/>
        <v>8810-46033</v>
      </c>
    </row>
  </sheetData>
  <sortState xmlns:xlrd2="http://schemas.microsoft.com/office/spreadsheetml/2017/richdata2" ref="A2:H66">
    <sortCondition ref="F2:F66"/>
  </sortState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8"/>
  <sheetViews>
    <sheetView workbookViewId="0">
      <selection activeCell="B1" sqref="B1"/>
    </sheetView>
  </sheetViews>
  <sheetFormatPr baseColWidth="10" defaultColWidth="8.83203125" defaultRowHeight="15" x14ac:dyDescent="0.2"/>
  <cols>
    <col min="1" max="1" width="13.83203125" customWidth="1"/>
    <col min="2" max="2" width="12.83203125" customWidth="1"/>
    <col min="3" max="3" width="20.5" customWidth="1"/>
    <col min="4" max="4" width="18.6640625" customWidth="1"/>
    <col min="5" max="5" width="14.6640625" style="3" customWidth="1"/>
    <col min="6" max="6" width="12.6640625" customWidth="1"/>
    <col min="7" max="7" width="12" style="5" customWidth="1"/>
    <col min="8" max="8" width="20.83203125" style="5" customWidth="1"/>
    <col min="9" max="9" width="20" style="5" customWidth="1"/>
    <col min="10" max="10" width="20.33203125" style="5" customWidth="1"/>
    <col min="11" max="11" width="23.83203125" style="5" customWidth="1"/>
  </cols>
  <sheetData>
    <row r="1" spans="1:11" x14ac:dyDescent="0.2">
      <c r="A1" s="1" t="s">
        <v>38</v>
      </c>
      <c r="B1" s="1" t="s">
        <v>39</v>
      </c>
      <c r="C1" s="1" t="s">
        <v>40</v>
      </c>
      <c r="D1" s="1" t="s">
        <v>41</v>
      </c>
      <c r="E1" s="2" t="s">
        <v>42</v>
      </c>
      <c r="F1" s="1" t="s">
        <v>43</v>
      </c>
      <c r="G1" s="4" t="s">
        <v>44</v>
      </c>
      <c r="H1" s="4" t="s">
        <v>45</v>
      </c>
      <c r="I1" s="4" t="s">
        <v>46</v>
      </c>
      <c r="J1" s="4" t="s">
        <v>47</v>
      </c>
      <c r="K1" s="4" t="s">
        <v>48</v>
      </c>
    </row>
    <row r="2" spans="1:11" x14ac:dyDescent="0.2">
      <c r="A2">
        <v>4641</v>
      </c>
      <c r="B2" t="s">
        <v>59</v>
      </c>
      <c r="C2" t="s">
        <v>27</v>
      </c>
      <c r="D2" t="s">
        <v>60</v>
      </c>
      <c r="E2" s="3">
        <v>45752</v>
      </c>
      <c r="F2">
        <v>42</v>
      </c>
      <c r="G2" s="5">
        <v>11.48</v>
      </c>
      <c r="H2" s="5">
        <v>16827.150000000001</v>
      </c>
      <c r="I2" s="5">
        <v>5602.78</v>
      </c>
      <c r="J2" s="5">
        <v>7959.41</v>
      </c>
      <c r="K2" s="5">
        <v>2106.44</v>
      </c>
    </row>
    <row r="3" spans="1:11" x14ac:dyDescent="0.2">
      <c r="A3">
        <v>8140</v>
      </c>
      <c r="B3" t="s">
        <v>65</v>
      </c>
      <c r="C3" t="s">
        <v>27</v>
      </c>
      <c r="D3" t="s">
        <v>52</v>
      </c>
      <c r="E3" s="3">
        <v>45783</v>
      </c>
      <c r="F3">
        <v>38</v>
      </c>
      <c r="G3" s="5">
        <v>7.86</v>
      </c>
      <c r="H3" s="5">
        <v>18750.45</v>
      </c>
      <c r="I3" s="5">
        <v>13207.42</v>
      </c>
      <c r="J3" s="5">
        <v>8394.81</v>
      </c>
      <c r="K3" s="5">
        <v>5309.25</v>
      </c>
    </row>
    <row r="4" spans="1:11" x14ac:dyDescent="0.2">
      <c r="A4">
        <v>9437</v>
      </c>
      <c r="B4" t="s">
        <v>56</v>
      </c>
      <c r="C4" t="s">
        <v>29</v>
      </c>
      <c r="D4" t="s">
        <v>57</v>
      </c>
      <c r="E4" s="3">
        <v>45832</v>
      </c>
      <c r="F4">
        <v>24</v>
      </c>
      <c r="G4" s="5">
        <v>6.93</v>
      </c>
      <c r="H4" s="5">
        <v>7069.34</v>
      </c>
      <c r="I4" s="5">
        <v>3616.37</v>
      </c>
      <c r="J4" s="5">
        <v>5129.92</v>
      </c>
      <c r="K4" s="5">
        <v>2177.8200000000002</v>
      </c>
    </row>
    <row r="5" spans="1:11" x14ac:dyDescent="0.2">
      <c r="A5">
        <v>1309</v>
      </c>
      <c r="B5" t="s">
        <v>63</v>
      </c>
      <c r="C5" t="s">
        <v>28</v>
      </c>
      <c r="D5" t="s">
        <v>60</v>
      </c>
      <c r="E5" s="3">
        <v>45836</v>
      </c>
      <c r="F5">
        <v>46</v>
      </c>
      <c r="G5" s="5">
        <v>9.06</v>
      </c>
      <c r="H5" s="5">
        <v>14369.41</v>
      </c>
      <c r="I5" s="5">
        <v>13619.79</v>
      </c>
      <c r="J5" s="5">
        <v>4477.21</v>
      </c>
      <c r="K5" s="5">
        <v>4384.04</v>
      </c>
    </row>
    <row r="6" spans="1:11" x14ac:dyDescent="0.2">
      <c r="A6">
        <v>5674</v>
      </c>
      <c r="B6" t="s">
        <v>70</v>
      </c>
      <c r="C6" t="s">
        <v>29</v>
      </c>
      <c r="D6" t="s">
        <v>60</v>
      </c>
      <c r="E6" s="3">
        <v>45858</v>
      </c>
      <c r="F6">
        <v>39</v>
      </c>
      <c r="G6" s="5">
        <v>11.52</v>
      </c>
      <c r="H6" s="5">
        <v>18231.46</v>
      </c>
      <c r="I6" s="5">
        <v>14444.63</v>
      </c>
      <c r="J6" s="5">
        <v>5973.81</v>
      </c>
      <c r="K6" s="5">
        <v>5421.27</v>
      </c>
    </row>
    <row r="7" spans="1:11" x14ac:dyDescent="0.2">
      <c r="A7">
        <v>3987</v>
      </c>
      <c r="B7" t="s">
        <v>58</v>
      </c>
      <c r="C7" t="s">
        <v>29</v>
      </c>
      <c r="D7" t="s">
        <v>57</v>
      </c>
      <c r="E7" s="3">
        <v>45859</v>
      </c>
      <c r="F7">
        <v>43</v>
      </c>
      <c r="G7" s="5">
        <v>9.83</v>
      </c>
      <c r="H7" s="5">
        <v>8619.11</v>
      </c>
      <c r="I7" s="5">
        <v>9995.17</v>
      </c>
      <c r="J7" s="5">
        <v>3294.1</v>
      </c>
      <c r="K7" s="5">
        <v>3567.53</v>
      </c>
    </row>
    <row r="8" spans="1:11" x14ac:dyDescent="0.2">
      <c r="A8">
        <v>4125</v>
      </c>
      <c r="B8" t="s">
        <v>64</v>
      </c>
      <c r="C8" t="s">
        <v>29</v>
      </c>
      <c r="D8" t="s">
        <v>50</v>
      </c>
      <c r="E8" s="3">
        <v>45907</v>
      </c>
      <c r="F8">
        <v>32</v>
      </c>
      <c r="G8" s="5">
        <v>8.07</v>
      </c>
      <c r="H8" s="5">
        <v>6538.07</v>
      </c>
      <c r="I8" s="5">
        <v>2990.94</v>
      </c>
      <c r="J8" s="5">
        <v>2615.86</v>
      </c>
      <c r="K8" s="5">
        <v>1196.55</v>
      </c>
    </row>
    <row r="9" spans="1:11" x14ac:dyDescent="0.2">
      <c r="A9">
        <v>3850</v>
      </c>
      <c r="B9" t="s">
        <v>51</v>
      </c>
      <c r="C9" t="s">
        <v>25</v>
      </c>
      <c r="D9" t="s">
        <v>52</v>
      </c>
      <c r="E9" s="3">
        <v>45910</v>
      </c>
      <c r="F9">
        <v>36</v>
      </c>
      <c r="G9" s="5">
        <v>11.82</v>
      </c>
      <c r="H9" s="5">
        <v>20975.3</v>
      </c>
      <c r="I9" s="5">
        <v>14419.62</v>
      </c>
      <c r="J9" s="5">
        <v>8633.32</v>
      </c>
      <c r="K9" s="5">
        <v>4386.66</v>
      </c>
    </row>
    <row r="10" spans="1:11" x14ac:dyDescent="0.2">
      <c r="A10">
        <v>4687</v>
      </c>
      <c r="B10" t="s">
        <v>68</v>
      </c>
      <c r="C10" t="s">
        <v>25</v>
      </c>
      <c r="D10" t="s">
        <v>60</v>
      </c>
      <c r="E10" s="3">
        <v>45919</v>
      </c>
      <c r="F10">
        <v>43</v>
      </c>
      <c r="G10" s="5">
        <v>8.48</v>
      </c>
      <c r="H10" s="5">
        <v>23338.93</v>
      </c>
      <c r="I10" s="5">
        <v>13021.57</v>
      </c>
      <c r="J10" s="5">
        <v>6505.97</v>
      </c>
      <c r="K10" s="5">
        <v>3242.44</v>
      </c>
    </row>
    <row r="11" spans="1:11" x14ac:dyDescent="0.2">
      <c r="A11">
        <v>2776</v>
      </c>
      <c r="B11" t="s">
        <v>61</v>
      </c>
      <c r="C11" t="s">
        <v>29</v>
      </c>
      <c r="D11" t="s">
        <v>62</v>
      </c>
      <c r="E11" s="3">
        <v>45954</v>
      </c>
      <c r="F11">
        <v>26</v>
      </c>
      <c r="G11" s="5">
        <v>10.28</v>
      </c>
      <c r="H11" s="5">
        <v>10271.58</v>
      </c>
      <c r="I11" s="5">
        <v>6110.56</v>
      </c>
      <c r="J11" s="5">
        <v>4994.17</v>
      </c>
      <c r="K11" s="5">
        <v>2669.49</v>
      </c>
    </row>
    <row r="12" spans="1:11" x14ac:dyDescent="0.2">
      <c r="A12">
        <v>9256</v>
      </c>
      <c r="B12" t="s">
        <v>66</v>
      </c>
      <c r="C12" t="s">
        <v>29</v>
      </c>
      <c r="D12" t="s">
        <v>60</v>
      </c>
      <c r="E12" s="3">
        <v>46000</v>
      </c>
      <c r="F12">
        <v>24</v>
      </c>
      <c r="G12" s="5">
        <v>6.6</v>
      </c>
      <c r="H12" s="5">
        <v>10180.629999999999</v>
      </c>
      <c r="I12" s="5">
        <v>7132.32</v>
      </c>
      <c r="J12" s="5">
        <v>3463.4</v>
      </c>
      <c r="K12" s="5">
        <v>2316.6799999999998</v>
      </c>
    </row>
    <row r="13" spans="1:11" x14ac:dyDescent="0.2">
      <c r="A13">
        <v>9018</v>
      </c>
      <c r="B13" t="s">
        <v>54</v>
      </c>
      <c r="C13" t="s">
        <v>27</v>
      </c>
      <c r="D13" t="s">
        <v>52</v>
      </c>
      <c r="E13" s="3">
        <v>46025</v>
      </c>
      <c r="F13">
        <v>26</v>
      </c>
      <c r="G13" s="5">
        <v>6.34</v>
      </c>
      <c r="H13" s="5">
        <v>6180.88</v>
      </c>
      <c r="I13" s="5">
        <v>2837.73</v>
      </c>
      <c r="J13" s="5">
        <v>1787.09</v>
      </c>
      <c r="K13" s="5">
        <v>823.75</v>
      </c>
    </row>
    <row r="14" spans="1:11" x14ac:dyDescent="0.2">
      <c r="A14">
        <v>6665</v>
      </c>
      <c r="B14" t="s">
        <v>49</v>
      </c>
      <c r="C14" t="s">
        <v>29</v>
      </c>
      <c r="D14" t="s">
        <v>50</v>
      </c>
      <c r="E14" s="3">
        <v>46087</v>
      </c>
      <c r="F14">
        <v>32</v>
      </c>
      <c r="G14" s="5">
        <v>11.89</v>
      </c>
      <c r="H14" s="5">
        <v>8747.02</v>
      </c>
      <c r="I14" s="5">
        <v>4135.51</v>
      </c>
      <c r="J14" s="5">
        <v>1420.61</v>
      </c>
      <c r="K14" s="5">
        <v>794.99</v>
      </c>
    </row>
    <row r="15" spans="1:11" x14ac:dyDescent="0.2">
      <c r="A15">
        <v>7371</v>
      </c>
      <c r="B15" t="s">
        <v>53</v>
      </c>
      <c r="C15" t="s">
        <v>25</v>
      </c>
      <c r="D15" t="s">
        <v>52</v>
      </c>
      <c r="E15" s="3">
        <v>46182</v>
      </c>
      <c r="F15">
        <v>32</v>
      </c>
      <c r="G15" s="5">
        <v>9.01</v>
      </c>
      <c r="H15" s="5">
        <v>7182.83</v>
      </c>
      <c r="I15" s="5">
        <v>3543.86</v>
      </c>
      <c r="J15" s="5">
        <v>468.69</v>
      </c>
      <c r="K15" s="5">
        <v>222.77</v>
      </c>
    </row>
    <row r="16" spans="1:11" x14ac:dyDescent="0.2">
      <c r="A16">
        <v>2764</v>
      </c>
      <c r="B16" t="s">
        <v>69</v>
      </c>
      <c r="C16" t="s">
        <v>26</v>
      </c>
      <c r="D16" t="s">
        <v>60</v>
      </c>
      <c r="E16" s="3">
        <v>46228</v>
      </c>
      <c r="F16">
        <v>38</v>
      </c>
      <c r="G16" s="5">
        <v>7.03</v>
      </c>
      <c r="H16" s="5">
        <v>15858.65</v>
      </c>
      <c r="I16" s="5">
        <v>5972.23</v>
      </c>
    </row>
    <row r="17" spans="1:9" x14ac:dyDescent="0.2">
      <c r="A17">
        <v>3394</v>
      </c>
      <c r="B17" t="s">
        <v>67</v>
      </c>
      <c r="C17" t="s">
        <v>26</v>
      </c>
      <c r="D17" t="s">
        <v>57</v>
      </c>
      <c r="E17" s="3">
        <v>46244</v>
      </c>
      <c r="F17">
        <v>45</v>
      </c>
      <c r="G17" s="5">
        <v>8.49</v>
      </c>
      <c r="H17" s="5">
        <v>19155.34</v>
      </c>
      <c r="I17" s="5">
        <v>4958.72</v>
      </c>
    </row>
    <row r="18" spans="1:9" x14ac:dyDescent="0.2">
      <c r="A18">
        <v>7717</v>
      </c>
      <c r="B18" t="s">
        <v>55</v>
      </c>
      <c r="C18" t="s">
        <v>29</v>
      </c>
      <c r="D18" t="s">
        <v>50</v>
      </c>
      <c r="E18" s="3">
        <v>46246</v>
      </c>
      <c r="F18">
        <v>45</v>
      </c>
      <c r="G18" s="5">
        <v>8.42</v>
      </c>
      <c r="H18" s="5">
        <v>16390.91</v>
      </c>
      <c r="I18" s="5">
        <v>10053.42</v>
      </c>
    </row>
  </sheetData>
  <sortState xmlns:xlrd2="http://schemas.microsoft.com/office/spreadsheetml/2017/richdata2" ref="A2:K18">
    <sortCondition ref="E2:E18"/>
  </sortState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214"/>
  <sheetViews>
    <sheetView tabSelected="1" workbookViewId="0">
      <selection activeCell="E8" sqref="E8"/>
    </sheetView>
  </sheetViews>
  <sheetFormatPr baseColWidth="10" defaultColWidth="8.83203125" defaultRowHeight="15" x14ac:dyDescent="0.2"/>
  <cols>
    <col min="2" max="2" width="14" customWidth="1"/>
    <col min="3" max="3" width="16" style="3" customWidth="1"/>
    <col min="4" max="4" width="14" style="3" customWidth="1"/>
    <col min="5" max="5" width="20" customWidth="1"/>
    <col min="6" max="6" width="11.5" customWidth="1"/>
    <col min="7" max="7" width="11" style="5" customWidth="1"/>
    <col min="8" max="8" width="9.83203125" customWidth="1"/>
    <col min="9" max="9" width="14.6640625" style="49" customWidth="1"/>
    <col min="10" max="10" width="15.5" customWidth="1"/>
    <col min="11" max="11" width="14.1640625" customWidth="1"/>
    <col min="12" max="12" width="20" customWidth="1"/>
    <col min="13" max="13" width="18" customWidth="1"/>
    <col min="14" max="14" width="13.5" customWidth="1"/>
    <col min="15" max="15" width="15.5" customWidth="1"/>
    <col min="16" max="16" width="17.5" customWidth="1"/>
    <col min="17" max="18" width="15.5" customWidth="1"/>
    <col min="19" max="19" width="16.5" customWidth="1"/>
    <col min="20" max="20" width="16.33203125" customWidth="1"/>
    <col min="21" max="21" width="16.6640625" customWidth="1"/>
  </cols>
  <sheetData>
    <row r="1" spans="1:19" x14ac:dyDescent="0.2">
      <c r="A1" s="1" t="s">
        <v>0</v>
      </c>
      <c r="B1" s="1" t="s">
        <v>38</v>
      </c>
      <c r="C1" s="2" t="s">
        <v>71</v>
      </c>
      <c r="D1" s="2" t="s">
        <v>35</v>
      </c>
      <c r="E1" s="1" t="s">
        <v>72</v>
      </c>
      <c r="F1" s="1" t="s">
        <v>73</v>
      </c>
      <c r="G1" s="4" t="s">
        <v>74</v>
      </c>
      <c r="H1" s="1" t="s">
        <v>75</v>
      </c>
      <c r="I1" s="50" t="s">
        <v>76</v>
      </c>
      <c r="J1" s="1" t="s">
        <v>193</v>
      </c>
      <c r="K1" s="1" t="s">
        <v>39</v>
      </c>
      <c r="L1" s="1" t="s">
        <v>40</v>
      </c>
      <c r="M1" s="1" t="s">
        <v>41</v>
      </c>
      <c r="N1" s="1" t="s">
        <v>281</v>
      </c>
      <c r="O1" s="1" t="s">
        <v>295</v>
      </c>
      <c r="P1" s="1" t="s">
        <v>296</v>
      </c>
      <c r="Q1" s="1" t="s">
        <v>282</v>
      </c>
      <c r="R1" s="1" t="s">
        <v>283</v>
      </c>
      <c r="S1" s="1" t="s">
        <v>379</v>
      </c>
    </row>
    <row r="2" spans="1:19" x14ac:dyDescent="0.2">
      <c r="A2">
        <v>3137</v>
      </c>
      <c r="B2">
        <v>2764</v>
      </c>
      <c r="C2" s="3">
        <v>46204</v>
      </c>
      <c r="D2" s="3">
        <v>46217</v>
      </c>
      <c r="E2" t="s">
        <v>77</v>
      </c>
      <c r="F2" t="s">
        <v>78</v>
      </c>
      <c r="G2" s="5">
        <v>230.69</v>
      </c>
      <c r="H2" t="s">
        <v>79</v>
      </c>
      <c r="J2">
        <f t="shared" ref="J2:J65" si="0">NETWORKDAYS(C2,D2,Jours_Fériés)</f>
        <v>9</v>
      </c>
      <c r="K2" t="str">
        <f>_xlfn.XLOOKUP($B2,Num_Projet,Projets!B:B,"Inexistant",0)</f>
        <v>MARCO</v>
      </c>
      <c r="L2" t="str">
        <f>_xlfn.XLOOKUP($B2,Num_Projet,Projets!C:C,"Inexistant",0)</f>
        <v>transformation digital</v>
      </c>
      <c r="M2" t="str">
        <f>_xlfn.XLOOKUP($B2,Num_Projet,Projets!D:D,"Inexistant",0)</f>
        <v>Banque Invest</v>
      </c>
      <c r="N2" s="6">
        <f>_xlfn.XLOOKUP(E2,nom_commune,villes_clients!E:E)*2</f>
        <v>1383.9078713499114</v>
      </c>
      <c r="O2" s="5">
        <f>IF(F2="train",G2,_xlfn.XLOOKUP(B2,Num_Projet,Projets!G:G,0,0)*N2)</f>
        <v>230.69</v>
      </c>
      <c r="P2" s="5">
        <f>_xlfn.XLOOKUP(_xlfn.XLOOKUP(E2,nom_commune,villes_clients!D:D,0,0),Seuil_population,Nuitée,0,1) * J2</f>
        <v>450</v>
      </c>
      <c r="Q2" s="5">
        <f>_xlfn.XLOOKUP( _xlfn.CONCAT(A2,"-",_xlfn.XLOOKUP(A2,Matr,Consultants!E:E) ),Dernier_contrat,Contrats!D:D,0,0) * IF(J2&gt;0,J2,1)</f>
        <v>1764</v>
      </c>
      <c r="R2" s="44">
        <f>Q2 + SUM(O2:P2) * IF(H2 = "Oui",1,0.75)</f>
        <v>2444.69</v>
      </c>
      <c r="S2" s="6">
        <f>( IF(F2="train", CO2_Train, _xlfn.XLOOKUP(I2,Immat_voitures,voitures_declarees!L:L,0,0)) * N2 ) / 1000</f>
        <v>2.7678157426998227</v>
      </c>
    </row>
    <row r="3" spans="1:19" x14ac:dyDescent="0.2">
      <c r="A3">
        <v>6423</v>
      </c>
      <c r="B3">
        <v>4125</v>
      </c>
      <c r="C3" s="3">
        <v>46205</v>
      </c>
      <c r="D3" s="3">
        <v>46214</v>
      </c>
      <c r="E3" t="s">
        <v>108</v>
      </c>
      <c r="F3" t="s">
        <v>78</v>
      </c>
      <c r="G3" s="5">
        <v>192.11</v>
      </c>
      <c r="H3" t="s">
        <v>85</v>
      </c>
      <c r="J3">
        <f t="shared" si="0"/>
        <v>7</v>
      </c>
      <c r="K3" t="str">
        <f>_xlfn.XLOOKUP($B3,Num_Projet,Projets!B:B,"Inexistant",0)</f>
        <v>ADV</v>
      </c>
      <c r="L3" t="str">
        <f>_xlfn.XLOOKUP($B3,Num_Projet,Projets!C:C,"Inexistant",0)</f>
        <v>gouvernance</v>
      </c>
      <c r="M3" t="str">
        <f>_xlfn.XLOOKUP($B3,Num_Projet,Projets!D:D,"Inexistant",0)</f>
        <v>Industries Nova Tech</v>
      </c>
      <c r="N3" s="6">
        <f>_xlfn.XLOOKUP(E3,nom_commune,villes_clients!E:E)*2</f>
        <v>1190.5827092173017</v>
      </c>
      <c r="O3" s="5">
        <f>IF(F3="train",G3,_xlfn.XLOOKUP(B3,Num_Projet,Projets!G:G,0,0)*N3)</f>
        <v>192.11</v>
      </c>
      <c r="P3" s="5">
        <f>_xlfn.XLOOKUP(_xlfn.XLOOKUP(E3,nom_commune,villes_clients!D:D,0,0),Seuil_population,Nuitée,0,1) * J3</f>
        <v>700</v>
      </c>
      <c r="Q3" s="5">
        <f>_xlfn.XLOOKUP( _xlfn.CONCAT(A3,"-",_xlfn.XLOOKUP(A3,Matr,Consultants!E:E) ),Dernier_contrat,Contrats!D:D,0,0) * IF(J3&gt;0,J3,1)</f>
        <v>1463</v>
      </c>
      <c r="R3" s="44">
        <f t="shared" ref="R3:R66" si="1">Q3 + SUM(O3:P3) * IF(H3 = "Oui",1,0.75)</f>
        <v>2132.0825</v>
      </c>
      <c r="S3" s="6">
        <f>( IF(F3="train", CO2_Train, _xlfn.XLOOKUP(I3,Immat_voitures,voitures_declarees!L:L,0,0)) * N3 ) / 1000</f>
        <v>2.3811654184346036</v>
      </c>
    </row>
    <row r="4" spans="1:19" x14ac:dyDescent="0.2">
      <c r="A4">
        <v>4744</v>
      </c>
      <c r="B4">
        <v>6665</v>
      </c>
      <c r="C4" s="3">
        <v>46205</v>
      </c>
      <c r="D4" s="3">
        <v>46208</v>
      </c>
      <c r="E4" t="s">
        <v>141</v>
      </c>
      <c r="F4" t="s">
        <v>78</v>
      </c>
      <c r="G4" s="5">
        <v>134.55000000000001</v>
      </c>
      <c r="H4" t="s">
        <v>79</v>
      </c>
      <c r="J4">
        <f t="shared" si="0"/>
        <v>2</v>
      </c>
      <c r="K4" t="str">
        <f>_xlfn.XLOOKUP($B4,Num_Projet,Projets!B:B,"Inexistant",0)</f>
        <v>Orion</v>
      </c>
      <c r="L4" t="str">
        <f>_xlfn.XLOOKUP($B4,Num_Projet,Projets!C:C,"Inexistant",0)</f>
        <v>gouvernance</v>
      </c>
      <c r="M4" t="str">
        <f>_xlfn.XLOOKUP($B4,Num_Projet,Projets!D:D,"Inexistant",0)</f>
        <v>Industries Nova Tech</v>
      </c>
      <c r="N4" s="6">
        <f>_xlfn.XLOOKUP(E4,nom_commune,villes_clients!E:E)*2</f>
        <v>492.25514367701084</v>
      </c>
      <c r="O4" s="5">
        <f>IF(F4="train",G4,_xlfn.XLOOKUP(B4,Num_Projet,Projets!G:G,0,0)*N4)</f>
        <v>134.55000000000001</v>
      </c>
      <c r="P4" s="5">
        <f>_xlfn.XLOOKUP(_xlfn.XLOOKUP(E4,nom_commune,villes_clients!D:D,0,0),Seuil_population,Nuitée,0,1) * J4</f>
        <v>100</v>
      </c>
      <c r="Q4" s="5">
        <f>_xlfn.XLOOKUP( _xlfn.CONCAT(A4,"-",_xlfn.XLOOKUP(A4,Matr,Consultants!E:E) ),Dernier_contrat,Contrats!D:D,0,0) * IF(J4&gt;0,J4,1)</f>
        <v>254</v>
      </c>
      <c r="R4" s="44">
        <f t="shared" si="1"/>
        <v>488.55</v>
      </c>
      <c r="S4" s="6">
        <f>( IF(F4="train", CO2_Train, _xlfn.XLOOKUP(I4,Immat_voitures,voitures_declarees!L:L,0,0)) * N4 ) / 1000</f>
        <v>0.98451028735402168</v>
      </c>
    </row>
    <row r="5" spans="1:19" x14ac:dyDescent="0.2">
      <c r="A5">
        <v>4751</v>
      </c>
      <c r="B5">
        <v>9437</v>
      </c>
      <c r="C5" s="3">
        <v>46207</v>
      </c>
      <c r="D5" s="3">
        <v>46218</v>
      </c>
      <c r="E5" t="s">
        <v>84</v>
      </c>
      <c r="F5" t="s">
        <v>78</v>
      </c>
      <c r="G5" s="5">
        <v>307.37</v>
      </c>
      <c r="H5" t="s">
        <v>85</v>
      </c>
      <c r="J5">
        <f t="shared" si="0"/>
        <v>7</v>
      </c>
      <c r="K5" t="str">
        <f>_xlfn.XLOOKUP($B5,Num_Projet,Projets!B:B,"Inexistant",0)</f>
        <v>E30</v>
      </c>
      <c r="L5" t="str">
        <f>_xlfn.XLOOKUP($B5,Num_Projet,Projets!C:C,"Inexistant",0)</f>
        <v>gouvernance</v>
      </c>
      <c r="M5" t="str">
        <f>_xlfn.XLOOKUP($B5,Num_Projet,Projets!D:D,"Inexistant",0)</f>
        <v>Cooperative Muvuca</v>
      </c>
      <c r="N5" s="6">
        <f>_xlfn.XLOOKUP(E5,nom_commune,villes_clients!E:E)*2</f>
        <v>397.6709091109758</v>
      </c>
      <c r="O5" s="5">
        <f>IF(F5="train",G5,_xlfn.XLOOKUP(B5,Num_Projet,Projets!G:G,0,0)*N5)</f>
        <v>307.37</v>
      </c>
      <c r="P5" s="5">
        <f>_xlfn.XLOOKUP(_xlfn.XLOOKUP(E5,nom_commune,villes_clients!D:D,0,0),Seuil_population,Nuitée,0,1) * J5</f>
        <v>350</v>
      </c>
      <c r="Q5" s="5">
        <f>_xlfn.XLOOKUP( _xlfn.CONCAT(A5,"-",_xlfn.XLOOKUP(A5,Matr,Consultants!E:E) ),Dernier_contrat,Contrats!D:D,0,0) * IF(J5&gt;0,J5,1)</f>
        <v>1022</v>
      </c>
      <c r="R5" s="44">
        <f t="shared" si="1"/>
        <v>1515.0275000000001</v>
      </c>
      <c r="S5" s="6">
        <f>( IF(F5="train", CO2_Train, _xlfn.XLOOKUP(I5,Immat_voitures,voitures_declarees!L:L,0,0)) * N5 ) / 1000</f>
        <v>0.7953418182219516</v>
      </c>
    </row>
    <row r="6" spans="1:19" x14ac:dyDescent="0.2">
      <c r="A6">
        <v>4733</v>
      </c>
      <c r="B6">
        <v>9437</v>
      </c>
      <c r="C6" s="3">
        <v>46208</v>
      </c>
      <c r="D6" s="3">
        <v>46208</v>
      </c>
      <c r="E6" t="s">
        <v>81</v>
      </c>
      <c r="F6" t="s">
        <v>82</v>
      </c>
      <c r="H6" t="s">
        <v>79</v>
      </c>
      <c r="I6" s="49" t="s">
        <v>88</v>
      </c>
      <c r="J6">
        <f t="shared" si="0"/>
        <v>0</v>
      </c>
      <c r="K6" t="str">
        <f>_xlfn.XLOOKUP($B6,Num_Projet,Projets!B:B,"Inexistant",0)</f>
        <v>E30</v>
      </c>
      <c r="L6" t="str">
        <f>_xlfn.XLOOKUP($B6,Num_Projet,Projets!C:C,"Inexistant",0)</f>
        <v>gouvernance</v>
      </c>
      <c r="M6" t="str">
        <f>_xlfn.XLOOKUP($B6,Num_Projet,Projets!D:D,"Inexistant",0)</f>
        <v>Cooperative Muvuca</v>
      </c>
      <c r="N6" s="6">
        <f>_xlfn.XLOOKUP(E6,nom_commune,villes_clients!E:E)*2</f>
        <v>15.392820720650741</v>
      </c>
      <c r="O6" s="5">
        <f>IF(F6="train",G6,_xlfn.XLOOKUP(B6,Num_Projet,Projets!G:G,0,0)*N6)</f>
        <v>106.67224759410963</v>
      </c>
      <c r="P6" s="5">
        <f>_xlfn.XLOOKUP(_xlfn.XLOOKUP(E6,nom_commune,villes_clients!D:D,0,0),Seuil_population,Nuitée,0,1) * J6</f>
        <v>0</v>
      </c>
      <c r="Q6" s="5">
        <f>_xlfn.XLOOKUP( _xlfn.CONCAT(A6,"-",_xlfn.XLOOKUP(A6,Matr,Consultants!E:E) ),Dernier_contrat,Contrats!D:D,0,0) * IF(J6&gt;0,J6,1)</f>
        <v>194</v>
      </c>
      <c r="R6" s="44">
        <f t="shared" si="1"/>
        <v>300.67224759410965</v>
      </c>
      <c r="S6" s="6">
        <f>( IF(F6="train", CO2_Train, _xlfn.XLOOKUP(I6,Immat_voitures,voitures_declarees!L:L,0,0)) * N6 ) / 1000</f>
        <v>1.6932102792715815</v>
      </c>
    </row>
    <row r="7" spans="1:19" x14ac:dyDescent="0.2">
      <c r="A7">
        <v>8988</v>
      </c>
      <c r="B7">
        <v>4125</v>
      </c>
      <c r="C7" s="3">
        <v>46208</v>
      </c>
      <c r="D7" s="3">
        <v>46213</v>
      </c>
      <c r="E7" t="s">
        <v>131</v>
      </c>
      <c r="F7" t="s">
        <v>82</v>
      </c>
      <c r="H7" t="s">
        <v>79</v>
      </c>
      <c r="I7" s="49" t="s">
        <v>114</v>
      </c>
      <c r="J7">
        <f t="shared" si="0"/>
        <v>5</v>
      </c>
      <c r="K7" t="str">
        <f>_xlfn.XLOOKUP($B7,Num_Projet,Projets!B:B,"Inexistant",0)</f>
        <v>ADV</v>
      </c>
      <c r="L7" t="str">
        <f>_xlfn.XLOOKUP($B7,Num_Projet,Projets!C:C,"Inexistant",0)</f>
        <v>gouvernance</v>
      </c>
      <c r="M7" t="str">
        <f>_xlfn.XLOOKUP($B7,Num_Projet,Projets!D:D,"Inexistant",0)</f>
        <v>Industries Nova Tech</v>
      </c>
      <c r="N7" s="6">
        <f>_xlfn.XLOOKUP(E7,nom_commune,villes_clients!E:E)*2</f>
        <v>20.365399926691858</v>
      </c>
      <c r="O7" s="5">
        <f>IF(F7="train",G7,_xlfn.XLOOKUP(B7,Num_Projet,Projets!G:G,0,0)*N7)</f>
        <v>164.34877740840329</v>
      </c>
      <c r="P7" s="5">
        <f>_xlfn.XLOOKUP(_xlfn.XLOOKUP(E7,nom_commune,villes_clients!D:D,0,0),Seuil_population,Nuitée,0,1) * J7</f>
        <v>250</v>
      </c>
      <c r="Q7" s="5">
        <f>_xlfn.XLOOKUP( _xlfn.CONCAT(A7,"-",_xlfn.XLOOKUP(A7,Matr,Consultants!E:E) ),Dernier_contrat,Contrats!D:D,0,0) * IF(J7&gt;0,J7,1)</f>
        <v>990</v>
      </c>
      <c r="R7" s="44">
        <f t="shared" si="1"/>
        <v>1404.3487774084033</v>
      </c>
      <c r="S7" s="6">
        <f>( IF(F7="train", CO2_Train, _xlfn.XLOOKUP(I7,Immat_voitures,voitures_declarees!L:L,0,0)) * N7 ) / 1000</f>
        <v>4.0730799853383717</v>
      </c>
    </row>
    <row r="8" spans="1:19" x14ac:dyDescent="0.2">
      <c r="A8">
        <v>4359</v>
      </c>
      <c r="B8">
        <v>6665</v>
      </c>
      <c r="C8" s="3">
        <v>46209</v>
      </c>
      <c r="D8" s="3">
        <v>46224</v>
      </c>
      <c r="E8" t="s">
        <v>81</v>
      </c>
      <c r="F8" t="s">
        <v>82</v>
      </c>
      <c r="H8" t="s">
        <v>85</v>
      </c>
      <c r="I8" s="49" t="s">
        <v>107</v>
      </c>
      <c r="J8">
        <f t="shared" si="0"/>
        <v>11</v>
      </c>
      <c r="K8" t="str">
        <f>_xlfn.XLOOKUP($B8,Num_Projet,Projets!B:B,"Inexistant",0)</f>
        <v>Orion</v>
      </c>
      <c r="L8" t="str">
        <f>_xlfn.XLOOKUP($B8,Num_Projet,Projets!C:C,"Inexistant",0)</f>
        <v>gouvernance</v>
      </c>
      <c r="M8" t="str">
        <f>_xlfn.XLOOKUP($B8,Num_Projet,Projets!D:D,"Inexistant",0)</f>
        <v>Industries Nova Tech</v>
      </c>
      <c r="N8" s="6">
        <f>_xlfn.XLOOKUP(E8,nom_commune,villes_clients!E:E)*2</f>
        <v>15.392820720650741</v>
      </c>
      <c r="O8" s="5">
        <f>IF(F8="train",G8,_xlfn.XLOOKUP(B8,Num_Projet,Projets!G:G,0,0)*N8)</f>
        <v>183.02063836853733</v>
      </c>
      <c r="P8" s="5">
        <f>_xlfn.XLOOKUP(_xlfn.XLOOKUP(E8,nom_commune,villes_clients!D:D,0,0),Seuil_population,Nuitée,0,1) * J8</f>
        <v>825</v>
      </c>
      <c r="Q8" s="5">
        <f>_xlfn.XLOOKUP( _xlfn.CONCAT(A8,"-",_xlfn.XLOOKUP(A8,Matr,Consultants!E:E) ),Dernier_contrat,Contrats!D:D,0,0) * IF(J8&gt;0,J8,1)</f>
        <v>1122</v>
      </c>
      <c r="R8" s="44">
        <f t="shared" si="1"/>
        <v>1878.0154787764031</v>
      </c>
      <c r="S8" s="6">
        <f>( IF(F8="train", CO2_Train, _xlfn.XLOOKUP(I8,Immat_voitures,voitures_declarees!L:L,0,0)) * N8 ) / 1000</f>
        <v>3.2940636342192589</v>
      </c>
    </row>
    <row r="9" spans="1:19" x14ac:dyDescent="0.2">
      <c r="A9">
        <v>4733</v>
      </c>
      <c r="B9">
        <v>9437</v>
      </c>
      <c r="C9" s="3">
        <v>46212</v>
      </c>
      <c r="D9" s="3">
        <v>46226</v>
      </c>
      <c r="E9" t="s">
        <v>142</v>
      </c>
      <c r="F9" t="s">
        <v>78</v>
      </c>
      <c r="G9" s="5">
        <v>257.33</v>
      </c>
      <c r="H9" t="s">
        <v>79</v>
      </c>
      <c r="J9">
        <f t="shared" si="0"/>
        <v>10</v>
      </c>
      <c r="K9" t="str">
        <f>_xlfn.XLOOKUP($B9,Num_Projet,Projets!B:B,"Inexistant",0)</f>
        <v>E30</v>
      </c>
      <c r="L9" t="str">
        <f>_xlfn.XLOOKUP($B9,Num_Projet,Projets!C:C,"Inexistant",0)</f>
        <v>gouvernance</v>
      </c>
      <c r="M9" t="str">
        <f>_xlfn.XLOOKUP($B9,Num_Projet,Projets!D:D,"Inexistant",0)</f>
        <v>Cooperative Muvuca</v>
      </c>
      <c r="N9" s="6">
        <f>_xlfn.XLOOKUP(E9,nom_commune,villes_clients!E:E)*2</f>
        <v>587.06204843006071</v>
      </c>
      <c r="O9" s="5">
        <f>IF(F9="train",G9,_xlfn.XLOOKUP(B9,Num_Projet,Projets!G:G,0,0)*N9)</f>
        <v>257.33</v>
      </c>
      <c r="P9" s="5">
        <f>_xlfn.XLOOKUP(_xlfn.XLOOKUP(E9,nom_commune,villes_clients!D:D,0,0),Seuil_population,Nuitée,0,1) * J9</f>
        <v>750</v>
      </c>
      <c r="Q9" s="5">
        <f>_xlfn.XLOOKUP( _xlfn.CONCAT(A9,"-",_xlfn.XLOOKUP(A9,Matr,Consultants!E:E) ),Dernier_contrat,Contrats!D:D,0,0) * IF(J9&gt;0,J9,1)</f>
        <v>1940</v>
      </c>
      <c r="R9" s="44">
        <f t="shared" si="1"/>
        <v>2947.33</v>
      </c>
      <c r="S9" s="6">
        <f>( IF(F9="train", CO2_Train, _xlfn.XLOOKUP(I9,Immat_voitures,voitures_declarees!L:L,0,0)) * N9 ) / 1000</f>
        <v>1.1741240968601214</v>
      </c>
    </row>
    <row r="10" spans="1:19" x14ac:dyDescent="0.2">
      <c r="A10">
        <v>5211</v>
      </c>
      <c r="B10">
        <v>2764</v>
      </c>
      <c r="C10" s="3">
        <v>46214</v>
      </c>
      <c r="D10" s="3">
        <v>46225</v>
      </c>
      <c r="E10" t="s">
        <v>151</v>
      </c>
      <c r="F10" t="s">
        <v>78</v>
      </c>
      <c r="G10" s="5">
        <v>87.68</v>
      </c>
      <c r="H10" t="s">
        <v>79</v>
      </c>
      <c r="J10">
        <f t="shared" si="0"/>
        <v>7</v>
      </c>
      <c r="K10" t="str">
        <f>_xlfn.XLOOKUP($B10,Num_Projet,Projets!B:B,"Inexistant",0)</f>
        <v>MARCO</v>
      </c>
      <c r="L10" t="str">
        <f>_xlfn.XLOOKUP($B10,Num_Projet,Projets!C:C,"Inexistant",0)</f>
        <v>transformation digital</v>
      </c>
      <c r="M10" t="str">
        <f>_xlfn.XLOOKUP($B10,Num_Projet,Projets!D:D,"Inexistant",0)</f>
        <v>Banque Invest</v>
      </c>
      <c r="N10" s="6">
        <f>_xlfn.XLOOKUP(E10,nom_commune,villes_clients!E:E)*2</f>
        <v>801.77005840342895</v>
      </c>
      <c r="O10" s="5">
        <f>IF(F10="train",G10,_xlfn.XLOOKUP(B10,Num_Projet,Projets!G:G,0,0)*N10)</f>
        <v>87.68</v>
      </c>
      <c r="P10" s="5">
        <f>_xlfn.XLOOKUP(_xlfn.XLOOKUP(E10,nom_commune,villes_clients!D:D,0,0),Seuil_population,Nuitée,0,1) * J10</f>
        <v>700</v>
      </c>
      <c r="Q10" s="5">
        <f>_xlfn.XLOOKUP( _xlfn.CONCAT(A10,"-",_xlfn.XLOOKUP(A10,Matr,Consultants!E:E) ),Dernier_contrat,Contrats!D:D,0,0) * IF(J10&gt;0,J10,1)</f>
        <v>1239</v>
      </c>
      <c r="R10" s="44">
        <f t="shared" si="1"/>
        <v>2026.68</v>
      </c>
      <c r="S10" s="6">
        <f>( IF(F10="train", CO2_Train, _xlfn.XLOOKUP(I10,Immat_voitures,voitures_declarees!L:L,0,0)) * N10 ) / 1000</f>
        <v>1.6035401168068579</v>
      </c>
    </row>
    <row r="11" spans="1:19" x14ac:dyDescent="0.2">
      <c r="A11">
        <v>6423</v>
      </c>
      <c r="B11">
        <v>7371</v>
      </c>
      <c r="C11" s="3">
        <v>46217</v>
      </c>
      <c r="D11" s="3">
        <v>46225</v>
      </c>
      <c r="E11" t="s">
        <v>109</v>
      </c>
      <c r="F11" t="s">
        <v>78</v>
      </c>
      <c r="G11" s="5">
        <v>87.8</v>
      </c>
      <c r="H11" t="s">
        <v>79</v>
      </c>
      <c r="J11">
        <f t="shared" si="0"/>
        <v>6</v>
      </c>
      <c r="K11" t="str">
        <f>_xlfn.XLOOKUP($B11,Num_Projet,Projets!B:B,"Inexistant",0)</f>
        <v>Infra2</v>
      </c>
      <c r="L11" t="str">
        <f>_xlfn.XLOOKUP($B11,Num_Projet,Projets!C:C,"Inexistant",0)</f>
        <v>cybersécurité</v>
      </c>
      <c r="M11" t="str">
        <f>_xlfn.XLOOKUP($B11,Num_Projet,Projets!D:D,"Inexistant",0)</f>
        <v>Société AHT</v>
      </c>
      <c r="N11" s="6">
        <f>_xlfn.XLOOKUP(E11,nom_commune,villes_clients!E:E)*2</f>
        <v>1373.4564493751479</v>
      </c>
      <c r="O11" s="5">
        <f>IF(F11="train",G11,_xlfn.XLOOKUP(B11,Num_Projet,Projets!G:G,0,0)*N11)</f>
        <v>87.8</v>
      </c>
      <c r="P11" s="5">
        <f>_xlfn.XLOOKUP(_xlfn.XLOOKUP(E11,nom_commune,villes_clients!D:D,0,0),Seuil_population,Nuitée,0,1) * J11</f>
        <v>450</v>
      </c>
      <c r="Q11" s="5">
        <f>_xlfn.XLOOKUP( _xlfn.CONCAT(A11,"-",_xlfn.XLOOKUP(A11,Matr,Consultants!E:E) ),Dernier_contrat,Contrats!D:D,0,0) * IF(J11&gt;0,J11,1)</f>
        <v>1254</v>
      </c>
      <c r="R11" s="44">
        <f t="shared" si="1"/>
        <v>1791.8</v>
      </c>
      <c r="S11" s="6">
        <f>( IF(F11="train", CO2_Train, _xlfn.XLOOKUP(I11,Immat_voitures,voitures_declarees!L:L,0,0)) * N11 ) / 1000</f>
        <v>2.746912898750296</v>
      </c>
    </row>
    <row r="12" spans="1:19" x14ac:dyDescent="0.2">
      <c r="A12">
        <v>8810</v>
      </c>
      <c r="B12">
        <v>6665</v>
      </c>
      <c r="C12" s="3">
        <v>46218</v>
      </c>
      <c r="D12" s="3">
        <v>46230</v>
      </c>
      <c r="E12" t="s">
        <v>145</v>
      </c>
      <c r="F12" t="s">
        <v>78</v>
      </c>
      <c r="G12" s="5">
        <v>207.12</v>
      </c>
      <c r="H12" t="s">
        <v>79</v>
      </c>
      <c r="J12">
        <f t="shared" si="0"/>
        <v>9</v>
      </c>
      <c r="K12" t="str">
        <f>_xlfn.XLOOKUP($B12,Num_Projet,Projets!B:B,"Inexistant",0)</f>
        <v>Orion</v>
      </c>
      <c r="L12" t="str">
        <f>_xlfn.XLOOKUP($B12,Num_Projet,Projets!C:C,"Inexistant",0)</f>
        <v>gouvernance</v>
      </c>
      <c r="M12" t="str">
        <f>_xlfn.XLOOKUP($B12,Num_Projet,Projets!D:D,"Inexistant",0)</f>
        <v>Industries Nova Tech</v>
      </c>
      <c r="N12" s="6">
        <f>_xlfn.XLOOKUP(E12,nom_commune,villes_clients!E:E)*2</f>
        <v>1086.407564975822</v>
      </c>
      <c r="O12" s="5">
        <f>IF(F12="train",G12,_xlfn.XLOOKUP(B12,Num_Projet,Projets!G:G,0,0)*N12)</f>
        <v>207.12</v>
      </c>
      <c r="P12" s="5">
        <f>_xlfn.XLOOKUP(_xlfn.XLOOKUP(E12,nom_commune,villes_clients!D:D,0,0),Seuil_population,Nuitée,0,1) * J12</f>
        <v>450</v>
      </c>
      <c r="Q12" s="5">
        <f>_xlfn.XLOOKUP( _xlfn.CONCAT(A12,"-",_xlfn.XLOOKUP(A12,Matr,Consultants!E:E) ),Dernier_contrat,Contrats!D:D,0,0) * IF(J12&gt;0,J12,1)</f>
        <v>1683</v>
      </c>
      <c r="R12" s="44">
        <f t="shared" si="1"/>
        <v>2340.12</v>
      </c>
      <c r="S12" s="6">
        <f>( IF(F12="train", CO2_Train, _xlfn.XLOOKUP(I12,Immat_voitures,voitures_declarees!L:L,0,0)) * N12 ) / 1000</f>
        <v>2.1728151299516441</v>
      </c>
    </row>
    <row r="13" spans="1:19" x14ac:dyDescent="0.2">
      <c r="A13">
        <v>7063</v>
      </c>
      <c r="B13">
        <v>4687</v>
      </c>
      <c r="C13" s="3">
        <v>46219</v>
      </c>
      <c r="D13" s="3">
        <v>46227</v>
      </c>
      <c r="E13" t="s">
        <v>164</v>
      </c>
      <c r="F13" t="s">
        <v>78</v>
      </c>
      <c r="G13" s="5">
        <v>96.37</v>
      </c>
      <c r="H13" t="s">
        <v>85</v>
      </c>
      <c r="J13">
        <f t="shared" si="0"/>
        <v>7</v>
      </c>
      <c r="K13" t="str">
        <f>_xlfn.XLOOKUP($B13,Num_Projet,Projets!B:B,"Inexistant",0)</f>
        <v>Mirage</v>
      </c>
      <c r="L13" t="str">
        <f>_xlfn.XLOOKUP($B13,Num_Projet,Projets!C:C,"Inexistant",0)</f>
        <v>cybersécurité</v>
      </c>
      <c r="M13" t="str">
        <f>_xlfn.XLOOKUP($B13,Num_Projet,Projets!D:D,"Inexistant",0)</f>
        <v>Banque Invest</v>
      </c>
      <c r="N13" s="6">
        <f>_xlfn.XLOOKUP(E13,nom_commune,villes_clients!E:E)*2</f>
        <v>1371.1717374786563</v>
      </c>
      <c r="O13" s="5">
        <f>IF(F13="train",G13,_xlfn.XLOOKUP(B13,Num_Projet,Projets!G:G,0,0)*N13)</f>
        <v>96.37</v>
      </c>
      <c r="P13" s="5">
        <f>_xlfn.XLOOKUP(_xlfn.XLOOKUP(E13,nom_commune,villes_clients!D:D,0,0),Seuil_population,Nuitée,0,1) * J13</f>
        <v>1050</v>
      </c>
      <c r="Q13" s="5">
        <f>_xlfn.XLOOKUP( _xlfn.CONCAT(A13,"-",_xlfn.XLOOKUP(A13,Matr,Consultants!E:E) ),Dernier_contrat,Contrats!D:D,0,0) * IF(J13&gt;0,J13,1)</f>
        <v>994</v>
      </c>
      <c r="R13" s="44">
        <f t="shared" si="1"/>
        <v>1853.7774999999999</v>
      </c>
      <c r="S13" s="6">
        <f>( IF(F13="train", CO2_Train, _xlfn.XLOOKUP(I13,Immat_voitures,voitures_declarees!L:L,0,0)) * N13 ) / 1000</f>
        <v>2.7423434749573126</v>
      </c>
    </row>
    <row r="14" spans="1:19" x14ac:dyDescent="0.2">
      <c r="A14">
        <v>3542</v>
      </c>
      <c r="B14">
        <v>3987</v>
      </c>
      <c r="C14" s="3">
        <v>46220</v>
      </c>
      <c r="D14" s="3">
        <v>46234</v>
      </c>
      <c r="E14" t="s">
        <v>100</v>
      </c>
      <c r="F14" t="s">
        <v>82</v>
      </c>
      <c r="H14" t="s">
        <v>85</v>
      </c>
      <c r="I14" s="49" t="s">
        <v>92</v>
      </c>
      <c r="J14">
        <f t="shared" si="0"/>
        <v>11</v>
      </c>
      <c r="K14" t="str">
        <f>_xlfn.XLOOKUP($B14,Num_Projet,Projets!B:B,"Inexistant",0)</f>
        <v>Gamma</v>
      </c>
      <c r="L14" t="str">
        <f>_xlfn.XLOOKUP($B14,Num_Projet,Projets!C:C,"Inexistant",0)</f>
        <v>gouvernance</v>
      </c>
      <c r="M14" t="str">
        <f>_xlfn.XLOOKUP($B14,Num_Projet,Projets!D:D,"Inexistant",0)</f>
        <v>Cooperative Muvuca</v>
      </c>
      <c r="N14" s="6">
        <f>_xlfn.XLOOKUP(E14,nom_commune,villes_clients!E:E)*2</f>
        <v>616.97040295737861</v>
      </c>
      <c r="O14" s="5">
        <f>IF(F14="train",G14,_xlfn.XLOOKUP(B14,Num_Projet,Projets!G:G,0,0)*N14)</f>
        <v>6064.8190610710317</v>
      </c>
      <c r="P14" s="5">
        <f>_xlfn.XLOOKUP(_xlfn.XLOOKUP(E14,nom_commune,villes_clients!D:D,0,0),Seuil_population,Nuitée,0,1) * J14</f>
        <v>1100</v>
      </c>
      <c r="Q14" s="5">
        <f>_xlfn.XLOOKUP( _xlfn.CONCAT(A14,"-",_xlfn.XLOOKUP(A14,Matr,Consultants!E:E) ),Dernier_contrat,Contrats!D:D,0,0) * IF(J14&gt;0,J14,1)</f>
        <v>1617</v>
      </c>
      <c r="R14" s="44">
        <f t="shared" si="1"/>
        <v>6990.6142958032742</v>
      </c>
      <c r="S14" s="6">
        <f>( IF(F14="train", CO2_Train, _xlfn.XLOOKUP(I14,Immat_voitures,voitures_declarees!L:L,0,0)) * N14 ) / 1000</f>
        <v>95.630412458393678</v>
      </c>
    </row>
    <row r="15" spans="1:19" x14ac:dyDescent="0.2">
      <c r="A15">
        <v>3137</v>
      </c>
      <c r="B15">
        <v>3987</v>
      </c>
      <c r="C15" s="3">
        <v>46222</v>
      </c>
      <c r="D15" s="3">
        <v>46236</v>
      </c>
      <c r="E15" t="s">
        <v>80</v>
      </c>
      <c r="F15" t="s">
        <v>78</v>
      </c>
      <c r="G15" s="5">
        <v>83.7</v>
      </c>
      <c r="H15" t="s">
        <v>79</v>
      </c>
      <c r="J15">
        <f t="shared" si="0"/>
        <v>10</v>
      </c>
      <c r="K15" t="str">
        <f>_xlfn.XLOOKUP($B15,Num_Projet,Projets!B:B,"Inexistant",0)</f>
        <v>Gamma</v>
      </c>
      <c r="L15" t="str">
        <f>_xlfn.XLOOKUP($B15,Num_Projet,Projets!C:C,"Inexistant",0)</f>
        <v>gouvernance</v>
      </c>
      <c r="M15" t="str">
        <f>_xlfn.XLOOKUP($B15,Num_Projet,Projets!D:D,"Inexistant",0)</f>
        <v>Cooperative Muvuca</v>
      </c>
      <c r="N15" s="6">
        <f>_xlfn.XLOOKUP(E15,nom_commune,villes_clients!E:E)*2</f>
        <v>402.24192193177629</v>
      </c>
      <c r="O15" s="5">
        <f>IF(F15="train",G15,_xlfn.XLOOKUP(B15,Num_Projet,Projets!G:G,0,0)*N15)</f>
        <v>83.7</v>
      </c>
      <c r="P15" s="5">
        <f>_xlfn.XLOOKUP(_xlfn.XLOOKUP(E15,nom_commune,villes_clients!D:D,0,0),Seuil_population,Nuitée,0,1) * J15</f>
        <v>750</v>
      </c>
      <c r="Q15" s="5">
        <f>_xlfn.XLOOKUP( _xlfn.CONCAT(A15,"-",_xlfn.XLOOKUP(A15,Matr,Consultants!E:E) ),Dernier_contrat,Contrats!D:D,0,0) * IF(J15&gt;0,J15,1)</f>
        <v>1960</v>
      </c>
      <c r="R15" s="44">
        <f t="shared" si="1"/>
        <v>2793.7</v>
      </c>
      <c r="S15" s="6">
        <f>( IF(F15="train", CO2_Train, _xlfn.XLOOKUP(I15,Immat_voitures,voitures_declarees!L:L,0,0)) * N15 ) / 1000</f>
        <v>0.80448384386355254</v>
      </c>
    </row>
    <row r="16" spans="1:19" x14ac:dyDescent="0.2">
      <c r="A16">
        <v>7954</v>
      </c>
      <c r="B16">
        <v>8140</v>
      </c>
      <c r="C16" s="3">
        <v>46222</v>
      </c>
      <c r="D16" s="3">
        <v>46226</v>
      </c>
      <c r="E16" t="s">
        <v>91</v>
      </c>
      <c r="F16" t="s">
        <v>82</v>
      </c>
      <c r="H16" t="s">
        <v>85</v>
      </c>
      <c r="I16" s="49" t="s">
        <v>114</v>
      </c>
      <c r="J16">
        <f t="shared" si="0"/>
        <v>4</v>
      </c>
      <c r="K16" t="str">
        <f>_xlfn.XLOOKUP($B16,Num_Projet,Projets!B:B,"Inexistant",0)</f>
        <v>Beta</v>
      </c>
      <c r="L16" t="str">
        <f>_xlfn.XLOOKUP($B16,Num_Projet,Projets!C:C,"Inexistant",0)</f>
        <v>systèmes d'information</v>
      </c>
      <c r="M16" t="str">
        <f>_xlfn.XLOOKUP($B16,Num_Projet,Projets!D:D,"Inexistant",0)</f>
        <v>Société AHT</v>
      </c>
      <c r="N16" s="6">
        <f>_xlfn.XLOOKUP(E16,nom_commune,villes_clients!E:E)*2</f>
        <v>16.416834937395087</v>
      </c>
      <c r="O16" s="5">
        <f>IF(F16="train",G16,_xlfn.XLOOKUP(B16,Num_Projet,Projets!G:G,0,0)*N16)</f>
        <v>129.0363226079254</v>
      </c>
      <c r="P16" s="5">
        <f>_xlfn.XLOOKUP(_xlfn.XLOOKUP(E16,nom_commune,villes_clients!D:D,0,0),Seuil_population,Nuitée,0,1) * J16</f>
        <v>300</v>
      </c>
      <c r="Q16" s="5">
        <f>_xlfn.XLOOKUP( _xlfn.CONCAT(A16,"-",_xlfn.XLOOKUP(A16,Matr,Consultants!E:E) ),Dernier_contrat,Contrats!D:D,0,0) * IF(J16&gt;0,J16,1)</f>
        <v>460</v>
      </c>
      <c r="R16" s="44">
        <f t="shared" si="1"/>
        <v>781.77724195594408</v>
      </c>
      <c r="S16" s="6">
        <f>( IF(F16="train", CO2_Train, _xlfn.XLOOKUP(I16,Immat_voitures,voitures_declarees!L:L,0,0)) * N16 ) / 1000</f>
        <v>3.2833669874790177</v>
      </c>
    </row>
    <row r="17" spans="1:19" x14ac:dyDescent="0.2">
      <c r="A17">
        <v>3772</v>
      </c>
      <c r="B17">
        <v>2764</v>
      </c>
      <c r="C17" s="3">
        <v>46222</v>
      </c>
      <c r="D17" s="3">
        <v>46237</v>
      </c>
      <c r="E17" t="s">
        <v>98</v>
      </c>
      <c r="F17" t="s">
        <v>82</v>
      </c>
      <c r="H17" t="s">
        <v>85</v>
      </c>
      <c r="I17" s="49" t="s">
        <v>83</v>
      </c>
      <c r="J17">
        <f t="shared" si="0"/>
        <v>11</v>
      </c>
      <c r="K17" t="str">
        <f>_xlfn.XLOOKUP($B17,Num_Projet,Projets!B:B,"Inexistant",0)</f>
        <v>MARCO</v>
      </c>
      <c r="L17" t="str">
        <f>_xlfn.XLOOKUP($B17,Num_Projet,Projets!C:C,"Inexistant",0)</f>
        <v>transformation digital</v>
      </c>
      <c r="M17" t="str">
        <f>_xlfn.XLOOKUP($B17,Num_Projet,Projets!D:D,"Inexistant",0)</f>
        <v>Banque Invest</v>
      </c>
      <c r="N17" s="6">
        <f>_xlfn.XLOOKUP(E17,nom_commune,villes_clients!E:E)*2</f>
        <v>231.0560317820871</v>
      </c>
      <c r="O17" s="5">
        <f>IF(F17="train",G17,_xlfn.XLOOKUP(B17,Num_Projet,Projets!G:G,0,0)*N17)</f>
        <v>1624.3239034280723</v>
      </c>
      <c r="P17" s="5">
        <f>_xlfn.XLOOKUP(_xlfn.XLOOKUP(E17,nom_commune,villes_clients!D:D,0,0),Seuil_population,Nuitée,0,1) * J17</f>
        <v>825</v>
      </c>
      <c r="Q17" s="5">
        <f>_xlfn.XLOOKUP( _xlfn.CONCAT(A17,"-",_xlfn.XLOOKUP(A17,Matr,Consultants!E:E) ),Dernier_contrat,Contrats!D:D,0,0) * IF(J17&gt;0,J17,1)</f>
        <v>2255</v>
      </c>
      <c r="R17" s="44">
        <f t="shared" si="1"/>
        <v>4091.9929275710542</v>
      </c>
      <c r="S17" s="6">
        <f>( IF(F17="train", CO2_Train, _xlfn.XLOOKUP(I17,Immat_voitures,voitures_declarees!L:L,0,0)) * N17 ) / 1000</f>
        <v>41.359029688993594</v>
      </c>
    </row>
    <row r="18" spans="1:19" x14ac:dyDescent="0.2">
      <c r="A18">
        <v>5607</v>
      </c>
      <c r="B18">
        <v>4641</v>
      </c>
      <c r="C18" s="3">
        <v>46223</v>
      </c>
      <c r="D18" s="3">
        <v>46226</v>
      </c>
      <c r="E18" t="s">
        <v>141</v>
      </c>
      <c r="F18" t="s">
        <v>78</v>
      </c>
      <c r="G18" s="5">
        <v>261.89999999999998</v>
      </c>
      <c r="H18" t="s">
        <v>85</v>
      </c>
      <c r="J18">
        <f t="shared" si="0"/>
        <v>4</v>
      </c>
      <c r="K18" t="str">
        <f>_xlfn.XLOOKUP($B18,Num_Projet,Projets!B:B,"Inexistant",0)</f>
        <v>Arche</v>
      </c>
      <c r="L18" t="str">
        <f>_xlfn.XLOOKUP($B18,Num_Projet,Projets!C:C,"Inexistant",0)</f>
        <v>systèmes d'information</v>
      </c>
      <c r="M18" t="str">
        <f>_xlfn.XLOOKUP($B18,Num_Projet,Projets!D:D,"Inexistant",0)</f>
        <v>Banque Invest</v>
      </c>
      <c r="N18" s="6">
        <f>_xlfn.XLOOKUP(E18,nom_commune,villes_clients!E:E)*2</f>
        <v>492.25514367701084</v>
      </c>
      <c r="O18" s="5">
        <f>IF(F18="train",G18,_xlfn.XLOOKUP(B18,Num_Projet,Projets!G:G,0,0)*N18)</f>
        <v>261.89999999999998</v>
      </c>
      <c r="P18" s="5">
        <f>_xlfn.XLOOKUP(_xlfn.XLOOKUP(E18,nom_commune,villes_clients!D:D,0,0),Seuil_population,Nuitée,0,1) * J18</f>
        <v>200</v>
      </c>
      <c r="Q18" s="5">
        <f>_xlfn.XLOOKUP( _xlfn.CONCAT(A18,"-",_xlfn.XLOOKUP(A18,Matr,Consultants!E:E) ),Dernier_contrat,Contrats!D:D,0,0) * IF(J18&gt;0,J18,1)</f>
        <v>416</v>
      </c>
      <c r="R18" s="44">
        <f t="shared" si="1"/>
        <v>762.42499999999995</v>
      </c>
      <c r="S18" s="6">
        <f>( IF(F18="train", CO2_Train, _xlfn.XLOOKUP(I18,Immat_voitures,voitures_declarees!L:L,0,0)) * N18 ) / 1000</f>
        <v>0.98451028735402168</v>
      </c>
    </row>
    <row r="19" spans="1:19" x14ac:dyDescent="0.2">
      <c r="A19">
        <v>4751</v>
      </c>
      <c r="B19">
        <v>9018</v>
      </c>
      <c r="C19" s="3">
        <v>46224</v>
      </c>
      <c r="D19" s="3">
        <v>46232</v>
      </c>
      <c r="E19" t="s">
        <v>121</v>
      </c>
      <c r="F19" t="s">
        <v>78</v>
      </c>
      <c r="G19" s="5">
        <v>330.93</v>
      </c>
      <c r="H19" t="s">
        <v>85</v>
      </c>
      <c r="J19">
        <f t="shared" si="0"/>
        <v>7</v>
      </c>
      <c r="K19" t="str">
        <f>_xlfn.XLOOKUP($B19,Num_Projet,Projets!B:B,"Inexistant",0)</f>
        <v>Onix</v>
      </c>
      <c r="L19" t="str">
        <f>_xlfn.XLOOKUP($B19,Num_Projet,Projets!C:C,"Inexistant",0)</f>
        <v>systèmes d'information</v>
      </c>
      <c r="M19" t="str">
        <f>_xlfn.XLOOKUP($B19,Num_Projet,Projets!D:D,"Inexistant",0)</f>
        <v>Société AHT</v>
      </c>
      <c r="N19" s="6">
        <f>_xlfn.XLOOKUP(E19,nom_commune,villes_clients!E:E)*2</f>
        <v>350.04851397456957</v>
      </c>
      <c r="O19" s="5">
        <f>IF(F19="train",G19,_xlfn.XLOOKUP(B19,Num_Projet,Projets!G:G,0,0)*N19)</f>
        <v>330.93</v>
      </c>
      <c r="P19" s="5">
        <f>_xlfn.XLOOKUP(_xlfn.XLOOKUP(E19,nom_commune,villes_clients!D:D,0,0),Seuil_population,Nuitée,0,1) * J19</f>
        <v>700</v>
      </c>
      <c r="Q19" s="5">
        <f>_xlfn.XLOOKUP( _xlfn.CONCAT(A19,"-",_xlfn.XLOOKUP(A19,Matr,Consultants!E:E) ),Dernier_contrat,Contrats!D:D,0,0) * IF(J19&gt;0,J19,1)</f>
        <v>1022</v>
      </c>
      <c r="R19" s="44">
        <f t="shared" si="1"/>
        <v>1795.1975</v>
      </c>
      <c r="S19" s="6">
        <f>( IF(F19="train", CO2_Train, _xlfn.XLOOKUP(I19,Immat_voitures,voitures_declarees!L:L,0,0)) * N19 ) / 1000</f>
        <v>0.70009702794913919</v>
      </c>
    </row>
    <row r="20" spans="1:19" x14ac:dyDescent="0.2">
      <c r="A20">
        <v>4641</v>
      </c>
      <c r="B20">
        <v>7371</v>
      </c>
      <c r="C20" s="3">
        <v>46224</v>
      </c>
      <c r="D20" s="3">
        <v>46236</v>
      </c>
      <c r="E20" t="s">
        <v>166</v>
      </c>
      <c r="F20" t="s">
        <v>78</v>
      </c>
      <c r="G20" s="5">
        <v>127.34</v>
      </c>
      <c r="H20" t="s">
        <v>85</v>
      </c>
      <c r="J20">
        <f t="shared" si="0"/>
        <v>9</v>
      </c>
      <c r="K20" t="str">
        <f>_xlfn.XLOOKUP($B20,Num_Projet,Projets!B:B,"Inexistant",0)</f>
        <v>Infra2</v>
      </c>
      <c r="L20" t="str">
        <f>_xlfn.XLOOKUP($B20,Num_Projet,Projets!C:C,"Inexistant",0)</f>
        <v>cybersécurité</v>
      </c>
      <c r="M20" t="str">
        <f>_xlfn.XLOOKUP($B20,Num_Projet,Projets!D:D,"Inexistant",0)</f>
        <v>Société AHT</v>
      </c>
      <c r="N20" s="6">
        <f>_xlfn.XLOOKUP(E20,nom_commune,villes_clients!E:E)*2</f>
        <v>529.19819952002911</v>
      </c>
      <c r="O20" s="5">
        <f>IF(F20="train",G20,_xlfn.XLOOKUP(B20,Num_Projet,Projets!G:G,0,0)*N20)</f>
        <v>127.34</v>
      </c>
      <c r="P20" s="5">
        <f>_xlfn.XLOOKUP(_xlfn.XLOOKUP(E20,nom_commune,villes_clients!D:D,0,0),Seuil_population,Nuitée,0,1) * J20</f>
        <v>900</v>
      </c>
      <c r="Q20" s="5">
        <f>_xlfn.XLOOKUP( _xlfn.CONCAT(A20,"-",_xlfn.XLOOKUP(A20,Matr,Consultants!E:E) ),Dernier_contrat,Contrats!D:D,0,0) * IF(J20&gt;0,J20,1)</f>
        <v>1233</v>
      </c>
      <c r="R20" s="44">
        <f t="shared" si="1"/>
        <v>2003.5049999999999</v>
      </c>
      <c r="S20" s="6">
        <f>( IF(F20="train", CO2_Train, _xlfn.XLOOKUP(I20,Immat_voitures,voitures_declarees!L:L,0,0)) * N20 ) / 1000</f>
        <v>1.0583963990400582</v>
      </c>
    </row>
    <row r="21" spans="1:19" x14ac:dyDescent="0.2">
      <c r="A21">
        <v>3582</v>
      </c>
      <c r="B21">
        <v>7717</v>
      </c>
      <c r="C21" s="3">
        <v>46225</v>
      </c>
      <c r="D21" s="3">
        <v>46228</v>
      </c>
      <c r="E21" t="s">
        <v>160</v>
      </c>
      <c r="F21" t="s">
        <v>82</v>
      </c>
      <c r="H21" t="s">
        <v>79</v>
      </c>
      <c r="I21" s="49" t="s">
        <v>114</v>
      </c>
      <c r="J21">
        <f t="shared" si="0"/>
        <v>3</v>
      </c>
      <c r="K21" t="str">
        <f>_xlfn.XLOOKUP($B21,Num_Projet,Projets!B:B,"Inexistant",0)</f>
        <v>Alpha</v>
      </c>
      <c r="L21" t="str">
        <f>_xlfn.XLOOKUP($B21,Num_Projet,Projets!C:C,"Inexistant",0)</f>
        <v>gouvernance</v>
      </c>
      <c r="M21" t="str">
        <f>_xlfn.XLOOKUP($B21,Num_Projet,Projets!D:D,"Inexistant",0)</f>
        <v>Industries Nova Tech</v>
      </c>
      <c r="N21" s="6">
        <f>_xlfn.XLOOKUP(E21,nom_commune,villes_clients!E:E)*2</f>
        <v>13.672243297167526</v>
      </c>
      <c r="O21" s="5">
        <f>IF(F21="train",G21,_xlfn.XLOOKUP(B21,Num_Projet,Projets!G:G,0,0)*N21)</f>
        <v>115.12028856215056</v>
      </c>
      <c r="P21" s="5">
        <f>_xlfn.XLOOKUP(_xlfn.XLOOKUP(E21,nom_commune,villes_clients!D:D,0,0),Seuil_population,Nuitée,0,1) * J21</f>
        <v>150</v>
      </c>
      <c r="Q21" s="5">
        <f>_xlfn.XLOOKUP( _xlfn.CONCAT(A21,"-",_xlfn.XLOOKUP(A21,Matr,Consultants!E:E) ),Dernier_contrat,Contrats!D:D,0,0) * IF(J21&gt;0,J21,1)</f>
        <v>252</v>
      </c>
      <c r="R21" s="44">
        <f t="shared" si="1"/>
        <v>517.12028856215056</v>
      </c>
      <c r="S21" s="6">
        <f>( IF(F21="train", CO2_Train, _xlfn.XLOOKUP(I21,Immat_voitures,voitures_declarees!L:L,0,0)) * N21 ) / 1000</f>
        <v>2.7344486594335051</v>
      </c>
    </row>
    <row r="22" spans="1:19" x14ac:dyDescent="0.2">
      <c r="A22">
        <v>1435</v>
      </c>
      <c r="B22">
        <v>4641</v>
      </c>
      <c r="C22" s="3">
        <v>46226</v>
      </c>
      <c r="D22" s="3">
        <v>46230</v>
      </c>
      <c r="E22" t="s">
        <v>122</v>
      </c>
      <c r="F22" t="s">
        <v>82</v>
      </c>
      <c r="H22" t="s">
        <v>79</v>
      </c>
      <c r="I22" s="49" t="s">
        <v>102</v>
      </c>
      <c r="J22">
        <f t="shared" si="0"/>
        <v>3</v>
      </c>
      <c r="K22" t="str">
        <f>_xlfn.XLOOKUP($B22,Num_Projet,Projets!B:B,"Inexistant",0)</f>
        <v>Arche</v>
      </c>
      <c r="L22" t="str">
        <f>_xlfn.XLOOKUP($B22,Num_Projet,Projets!C:C,"Inexistant",0)</f>
        <v>systèmes d'information</v>
      </c>
      <c r="M22" t="str">
        <f>_xlfn.XLOOKUP($B22,Num_Projet,Projets!D:D,"Inexistant",0)</f>
        <v>Banque Invest</v>
      </c>
      <c r="N22" s="6">
        <f>_xlfn.XLOOKUP(E22,nom_commune,villes_clients!E:E)*2</f>
        <v>423.94716370353035</v>
      </c>
      <c r="O22" s="5">
        <f>IF(F22="train",G22,_xlfn.XLOOKUP(B22,Num_Projet,Projets!G:G,0,0)*N22)</f>
        <v>4866.9134393165286</v>
      </c>
      <c r="P22" s="5">
        <f>_xlfn.XLOOKUP(_xlfn.XLOOKUP(E22,nom_commune,villes_clients!D:D,0,0),Seuil_population,Nuitée,0,1) * J22</f>
        <v>225</v>
      </c>
      <c r="Q22" s="5">
        <f>_xlfn.XLOOKUP( _xlfn.CONCAT(A22,"-",_xlfn.XLOOKUP(A22,Matr,Consultants!E:E) ),Dernier_contrat,Contrats!D:D,0,0) * IF(J22&gt;0,J22,1)</f>
        <v>321</v>
      </c>
      <c r="R22" s="44">
        <f t="shared" si="1"/>
        <v>5412.9134393165286</v>
      </c>
      <c r="S22" s="6">
        <f>( IF(F22="train", CO2_Train, _xlfn.XLOOKUP(I22,Immat_voitures,voitures_declarees!L:L,0,0)) * N22 ) / 1000</f>
        <v>86.909168559223716</v>
      </c>
    </row>
    <row r="23" spans="1:19" x14ac:dyDescent="0.2">
      <c r="A23">
        <v>5959</v>
      </c>
      <c r="B23">
        <v>3987</v>
      </c>
      <c r="C23" s="3">
        <v>46229</v>
      </c>
      <c r="D23" s="3">
        <v>46235</v>
      </c>
      <c r="E23" t="s">
        <v>117</v>
      </c>
      <c r="F23" t="s">
        <v>82</v>
      </c>
      <c r="H23" t="s">
        <v>79</v>
      </c>
      <c r="I23" s="49" t="s">
        <v>94</v>
      </c>
      <c r="J23">
        <f t="shared" si="0"/>
        <v>5</v>
      </c>
      <c r="K23" t="str">
        <f>_xlfn.XLOOKUP($B23,Num_Projet,Projets!B:B,"Inexistant",0)</f>
        <v>Gamma</v>
      </c>
      <c r="L23" t="str">
        <f>_xlfn.XLOOKUP($B23,Num_Projet,Projets!C:C,"Inexistant",0)</f>
        <v>gouvernance</v>
      </c>
      <c r="M23" t="str">
        <f>_xlfn.XLOOKUP($B23,Num_Projet,Projets!D:D,"Inexistant",0)</f>
        <v>Cooperative Muvuca</v>
      </c>
      <c r="N23" s="6">
        <f>_xlfn.XLOOKUP(E23,nom_commune,villes_clients!E:E)*2</f>
        <v>23.369681001270123</v>
      </c>
      <c r="O23" s="5">
        <f>IF(F23="train",G23,_xlfn.XLOOKUP(B23,Num_Projet,Projets!G:G,0,0)*N23)</f>
        <v>229.72396424248532</v>
      </c>
      <c r="P23" s="5">
        <f>_xlfn.XLOOKUP(_xlfn.XLOOKUP(E23,nom_commune,villes_clients!D:D,0,0),Seuil_population,Nuitée,0,1) * J23</f>
        <v>250</v>
      </c>
      <c r="Q23" s="5">
        <f>_xlfn.XLOOKUP( _xlfn.CONCAT(A23,"-",_xlfn.XLOOKUP(A23,Matr,Consultants!E:E) ),Dernier_contrat,Contrats!D:D,0,0) * IF(J23&gt;0,J23,1)</f>
        <v>990</v>
      </c>
      <c r="R23" s="44">
        <f t="shared" si="1"/>
        <v>1469.7239642424852</v>
      </c>
      <c r="S23" s="6">
        <f>( IF(F23="train", CO2_Train, _xlfn.XLOOKUP(I23,Immat_voitures,voitures_declarees!L:L,0,0)) * N23 ) / 1000</f>
        <v>3.80925800320703</v>
      </c>
    </row>
    <row r="24" spans="1:19" x14ac:dyDescent="0.2">
      <c r="A24">
        <v>7175</v>
      </c>
      <c r="B24">
        <v>9437</v>
      </c>
      <c r="C24" s="3">
        <v>46230</v>
      </c>
      <c r="D24" s="3">
        <v>46244</v>
      </c>
      <c r="E24" t="s">
        <v>163</v>
      </c>
      <c r="F24" t="s">
        <v>82</v>
      </c>
      <c r="H24" t="s">
        <v>85</v>
      </c>
      <c r="I24" s="49" t="s">
        <v>102</v>
      </c>
      <c r="J24">
        <f t="shared" si="0"/>
        <v>11</v>
      </c>
      <c r="K24" t="str">
        <f>_xlfn.XLOOKUP($B24,Num_Projet,Projets!B:B,"Inexistant",0)</f>
        <v>E30</v>
      </c>
      <c r="L24" t="str">
        <f>_xlfn.XLOOKUP($B24,Num_Projet,Projets!C:C,"Inexistant",0)</f>
        <v>gouvernance</v>
      </c>
      <c r="M24" t="str">
        <f>_xlfn.XLOOKUP($B24,Num_Projet,Projets!D:D,"Inexistant",0)</f>
        <v>Cooperative Muvuca</v>
      </c>
      <c r="N24" s="6">
        <f>_xlfn.XLOOKUP(E24,nom_commune,villes_clients!E:E)*2</f>
        <v>469.07794383041016</v>
      </c>
      <c r="O24" s="5">
        <f>IF(F24="train",G24,_xlfn.XLOOKUP(B24,Num_Projet,Projets!G:G,0,0)*N24)</f>
        <v>3250.7101507447424</v>
      </c>
      <c r="P24" s="5">
        <f>_xlfn.XLOOKUP(_xlfn.XLOOKUP(E24,nom_commune,villes_clients!D:D,0,0),Seuil_population,Nuitée,0,1) * J24</f>
        <v>825</v>
      </c>
      <c r="Q24" s="5">
        <f>_xlfn.XLOOKUP( _xlfn.CONCAT(A24,"-",_xlfn.XLOOKUP(A24,Matr,Consultants!E:E) ),Dernier_contrat,Contrats!D:D,0,0) * IF(J24&gt;0,J24,1)</f>
        <v>1452</v>
      </c>
      <c r="R24" s="44">
        <f t="shared" si="1"/>
        <v>4508.7826130585563</v>
      </c>
      <c r="S24" s="6">
        <f>( IF(F24="train", CO2_Train, _xlfn.XLOOKUP(I24,Immat_voitures,voitures_declarees!L:L,0,0)) * N24 ) / 1000</f>
        <v>96.160978485234082</v>
      </c>
    </row>
    <row r="25" spans="1:19" x14ac:dyDescent="0.2">
      <c r="A25">
        <v>8195</v>
      </c>
      <c r="B25">
        <v>8140</v>
      </c>
      <c r="C25" s="3">
        <v>46231</v>
      </c>
      <c r="D25" s="3">
        <v>46246</v>
      </c>
      <c r="E25" t="s">
        <v>98</v>
      </c>
      <c r="F25" t="s">
        <v>78</v>
      </c>
      <c r="G25" s="5">
        <v>330.24</v>
      </c>
      <c r="H25" t="s">
        <v>79</v>
      </c>
      <c r="J25">
        <f t="shared" si="0"/>
        <v>12</v>
      </c>
      <c r="K25" t="str">
        <f>_xlfn.XLOOKUP($B25,Num_Projet,Projets!B:B,"Inexistant",0)</f>
        <v>Beta</v>
      </c>
      <c r="L25" t="str">
        <f>_xlfn.XLOOKUP($B25,Num_Projet,Projets!C:C,"Inexistant",0)</f>
        <v>systèmes d'information</v>
      </c>
      <c r="M25" t="str">
        <f>_xlfn.XLOOKUP($B25,Num_Projet,Projets!D:D,"Inexistant",0)</f>
        <v>Société AHT</v>
      </c>
      <c r="N25" s="6">
        <f>_xlfn.XLOOKUP(E25,nom_commune,villes_clients!E:E)*2</f>
        <v>231.0560317820871</v>
      </c>
      <c r="O25" s="5">
        <f>IF(F25="train",G25,_xlfn.XLOOKUP(B25,Num_Projet,Projets!G:G,0,0)*N25)</f>
        <v>330.24</v>
      </c>
      <c r="P25" s="5">
        <f>_xlfn.XLOOKUP(_xlfn.XLOOKUP(E25,nom_commune,villes_clients!D:D,0,0),Seuil_population,Nuitée,0,1) * J25</f>
        <v>900</v>
      </c>
      <c r="Q25" s="5">
        <f>_xlfn.XLOOKUP( _xlfn.CONCAT(A25,"-",_xlfn.XLOOKUP(A25,Matr,Consultants!E:E) ),Dernier_contrat,Contrats!D:D,0,0) * IF(J25&gt;0,J25,1)</f>
        <v>1524</v>
      </c>
      <c r="R25" s="44">
        <f t="shared" si="1"/>
        <v>2754.24</v>
      </c>
      <c r="S25" s="6">
        <f>( IF(F25="train", CO2_Train, _xlfn.XLOOKUP(I25,Immat_voitures,voitures_declarees!L:L,0,0)) * N25 ) / 1000</f>
        <v>0.46211206356417422</v>
      </c>
    </row>
    <row r="26" spans="1:19" x14ac:dyDescent="0.2">
      <c r="A26">
        <v>4744</v>
      </c>
      <c r="B26">
        <v>4687</v>
      </c>
      <c r="C26" s="3">
        <v>46234</v>
      </c>
      <c r="D26" s="3">
        <v>46237</v>
      </c>
      <c r="E26" t="s">
        <v>123</v>
      </c>
      <c r="F26" t="s">
        <v>82</v>
      </c>
      <c r="H26" t="s">
        <v>79</v>
      </c>
      <c r="I26" s="49" t="s">
        <v>83</v>
      </c>
      <c r="J26">
        <f t="shared" si="0"/>
        <v>2</v>
      </c>
      <c r="K26" t="str">
        <f>_xlfn.XLOOKUP($B26,Num_Projet,Projets!B:B,"Inexistant",0)</f>
        <v>Mirage</v>
      </c>
      <c r="L26" t="str">
        <f>_xlfn.XLOOKUP($B26,Num_Projet,Projets!C:C,"Inexistant",0)</f>
        <v>cybersécurité</v>
      </c>
      <c r="M26" t="str">
        <f>_xlfn.XLOOKUP($B26,Num_Projet,Projets!D:D,"Inexistant",0)</f>
        <v>Banque Invest</v>
      </c>
      <c r="N26" s="6">
        <f>_xlfn.XLOOKUP(E26,nom_commune,villes_clients!E:E)*2</f>
        <v>1007.2300393951127</v>
      </c>
      <c r="O26" s="5">
        <f>IF(F26="train",G26,_xlfn.XLOOKUP(B26,Num_Projet,Projets!G:G,0,0)*N26)</f>
        <v>8541.3107340705556</v>
      </c>
      <c r="P26" s="5">
        <f>_xlfn.XLOOKUP(_xlfn.XLOOKUP(E26,nom_commune,villes_clients!D:D,0,0),Seuil_population,Nuitée,0,1) * J26</f>
        <v>100</v>
      </c>
      <c r="Q26" s="5">
        <f>_xlfn.XLOOKUP( _xlfn.CONCAT(A26,"-",_xlfn.XLOOKUP(A26,Matr,Consultants!E:E) ),Dernier_contrat,Contrats!D:D,0,0) * IF(J26&gt;0,J26,1)</f>
        <v>254</v>
      </c>
      <c r="R26" s="44">
        <f t="shared" si="1"/>
        <v>8895.3107340705556</v>
      </c>
      <c r="S26" s="6">
        <f>( IF(F26="train", CO2_Train, _xlfn.XLOOKUP(I26,Immat_voitures,voitures_declarees!L:L,0,0)) * N26 ) / 1000</f>
        <v>180.2941770517252</v>
      </c>
    </row>
    <row r="27" spans="1:19" x14ac:dyDescent="0.2">
      <c r="A27">
        <v>8988</v>
      </c>
      <c r="B27">
        <v>3987</v>
      </c>
      <c r="C27" s="3">
        <v>46236</v>
      </c>
      <c r="D27" s="3">
        <v>46240</v>
      </c>
      <c r="E27" t="s">
        <v>95</v>
      </c>
      <c r="F27" t="s">
        <v>82</v>
      </c>
      <c r="H27" t="s">
        <v>85</v>
      </c>
      <c r="I27" s="49" t="s">
        <v>88</v>
      </c>
      <c r="J27">
        <f t="shared" si="0"/>
        <v>4</v>
      </c>
      <c r="K27" t="str">
        <f>_xlfn.XLOOKUP($B27,Num_Projet,Projets!B:B,"Inexistant",0)</f>
        <v>Gamma</v>
      </c>
      <c r="L27" t="str">
        <f>_xlfn.XLOOKUP($B27,Num_Projet,Projets!C:C,"Inexistant",0)</f>
        <v>gouvernance</v>
      </c>
      <c r="M27" t="str">
        <f>_xlfn.XLOOKUP($B27,Num_Projet,Projets!D:D,"Inexistant",0)</f>
        <v>Cooperative Muvuca</v>
      </c>
      <c r="N27" s="6">
        <f>_xlfn.XLOOKUP(E27,nom_commune,villes_clients!E:E)*2</f>
        <v>406.67072652136744</v>
      </c>
      <c r="O27" s="5">
        <f>IF(F27="train",G27,_xlfn.XLOOKUP(B27,Num_Projet,Projets!G:G,0,0)*N27)</f>
        <v>3997.5732417050422</v>
      </c>
      <c r="P27" s="5">
        <f>_xlfn.XLOOKUP(_xlfn.XLOOKUP(E27,nom_commune,villes_clients!D:D,0,0),Seuil_population,Nuitée,0,1) * J27</f>
        <v>400</v>
      </c>
      <c r="Q27" s="5">
        <f>_xlfn.XLOOKUP( _xlfn.CONCAT(A27,"-",_xlfn.XLOOKUP(A27,Matr,Consultants!E:E) ),Dernier_contrat,Contrats!D:D,0,0) * IF(J27&gt;0,J27,1)</f>
        <v>792</v>
      </c>
      <c r="R27" s="44">
        <f t="shared" si="1"/>
        <v>4090.1799312787816</v>
      </c>
      <c r="S27" s="6">
        <f>( IF(F27="train", CO2_Train, _xlfn.XLOOKUP(I27,Immat_voitures,voitures_declarees!L:L,0,0)) * N27 ) / 1000</f>
        <v>44.733779917350418</v>
      </c>
    </row>
    <row r="28" spans="1:19" x14ac:dyDescent="0.2">
      <c r="A28">
        <v>3137</v>
      </c>
      <c r="B28">
        <v>9437</v>
      </c>
      <c r="C28" s="3">
        <v>46237</v>
      </c>
      <c r="D28" s="3">
        <v>46241</v>
      </c>
      <c r="E28" t="s">
        <v>77</v>
      </c>
      <c r="F28" t="s">
        <v>78</v>
      </c>
      <c r="G28" s="5">
        <v>191.39</v>
      </c>
      <c r="H28" t="s">
        <v>79</v>
      </c>
      <c r="J28">
        <f t="shared" si="0"/>
        <v>5</v>
      </c>
      <c r="K28" t="str">
        <f>_xlfn.XLOOKUP($B28,Num_Projet,Projets!B:B,"Inexistant",0)</f>
        <v>E30</v>
      </c>
      <c r="L28" t="str">
        <f>_xlfn.XLOOKUP($B28,Num_Projet,Projets!C:C,"Inexistant",0)</f>
        <v>gouvernance</v>
      </c>
      <c r="M28" t="str">
        <f>_xlfn.XLOOKUP($B28,Num_Projet,Projets!D:D,"Inexistant",0)</f>
        <v>Cooperative Muvuca</v>
      </c>
      <c r="N28" s="6">
        <f>_xlfn.XLOOKUP(E28,nom_commune,villes_clients!E:E)*2</f>
        <v>1383.9078713499114</v>
      </c>
      <c r="O28" s="5">
        <f>IF(F28="train",G28,_xlfn.XLOOKUP(B28,Num_Projet,Projets!G:G,0,0)*N28)</f>
        <v>191.39</v>
      </c>
      <c r="P28" s="5">
        <f>_xlfn.XLOOKUP(_xlfn.XLOOKUP(E28,nom_commune,villes_clients!D:D,0,0),Seuil_population,Nuitée,0,1) * J28</f>
        <v>250</v>
      </c>
      <c r="Q28" s="5">
        <f>_xlfn.XLOOKUP( _xlfn.CONCAT(A28,"-",_xlfn.XLOOKUP(A28,Matr,Consultants!E:E) ),Dernier_contrat,Contrats!D:D,0,0) * IF(J28&gt;0,J28,1)</f>
        <v>980</v>
      </c>
      <c r="R28" s="44">
        <f t="shared" si="1"/>
        <v>1421.3899999999999</v>
      </c>
      <c r="S28" s="6">
        <f>( IF(F28="train", CO2_Train, _xlfn.XLOOKUP(I28,Immat_voitures,voitures_declarees!L:L,0,0)) * N28 ) / 1000</f>
        <v>2.7678157426998227</v>
      </c>
    </row>
    <row r="29" spans="1:19" x14ac:dyDescent="0.2">
      <c r="A29">
        <v>5211</v>
      </c>
      <c r="B29">
        <v>4125</v>
      </c>
      <c r="C29" s="3">
        <v>46237</v>
      </c>
      <c r="D29" s="3">
        <v>46252</v>
      </c>
      <c r="E29" t="s">
        <v>152</v>
      </c>
      <c r="F29" t="s">
        <v>82</v>
      </c>
      <c r="H29" t="s">
        <v>79</v>
      </c>
      <c r="I29" s="49" t="s">
        <v>90</v>
      </c>
      <c r="J29">
        <f t="shared" si="0"/>
        <v>12</v>
      </c>
      <c r="K29" t="str">
        <f>_xlfn.XLOOKUP($B29,Num_Projet,Projets!B:B,"Inexistant",0)</f>
        <v>ADV</v>
      </c>
      <c r="L29" t="str">
        <f>_xlfn.XLOOKUP($B29,Num_Projet,Projets!C:C,"Inexistant",0)</f>
        <v>gouvernance</v>
      </c>
      <c r="M29" t="str">
        <f>_xlfn.XLOOKUP($B29,Num_Projet,Projets!D:D,"Inexistant",0)</f>
        <v>Industries Nova Tech</v>
      </c>
      <c r="N29" s="6">
        <f>_xlfn.XLOOKUP(E29,nom_commune,villes_clients!E:E)*2</f>
        <v>780.40222970796981</v>
      </c>
      <c r="O29" s="5">
        <f>IF(F29="train",G29,_xlfn.XLOOKUP(B29,Num_Projet,Projets!G:G,0,0)*N29)</f>
        <v>6297.8459937433163</v>
      </c>
      <c r="P29" s="5">
        <f>_xlfn.XLOOKUP(_xlfn.XLOOKUP(E29,nom_commune,villes_clients!D:D,0,0),Seuil_population,Nuitée,0,1) * J29</f>
        <v>900</v>
      </c>
      <c r="Q29" s="5">
        <f>_xlfn.XLOOKUP( _xlfn.CONCAT(A29,"-",_xlfn.XLOOKUP(A29,Matr,Consultants!E:E) ),Dernier_contrat,Contrats!D:D,0,0) * IF(J29&gt;0,J29,1)</f>
        <v>2124</v>
      </c>
      <c r="R29" s="44">
        <f t="shared" si="1"/>
        <v>9321.8459937433163</v>
      </c>
      <c r="S29" s="6">
        <f>( IF(F29="train", CO2_Train, _xlfn.XLOOKUP(I29,Immat_voitures,voitures_declarees!L:L,0,0)) * N29 ) / 1000</f>
        <v>230.99905999355906</v>
      </c>
    </row>
    <row r="30" spans="1:19" x14ac:dyDescent="0.2">
      <c r="A30">
        <v>6423</v>
      </c>
      <c r="B30">
        <v>1309</v>
      </c>
      <c r="C30" s="3">
        <v>46239</v>
      </c>
      <c r="D30" s="3">
        <v>46250</v>
      </c>
      <c r="E30" t="s">
        <v>110</v>
      </c>
      <c r="F30" t="s">
        <v>82</v>
      </c>
      <c r="H30" t="s">
        <v>79</v>
      </c>
      <c r="I30" s="49" t="s">
        <v>90</v>
      </c>
      <c r="J30">
        <f t="shared" si="0"/>
        <v>8</v>
      </c>
      <c r="K30" t="str">
        <f>_xlfn.XLOOKUP($B30,Num_Projet,Projets!B:B,"Inexistant",0)</f>
        <v>Arc25</v>
      </c>
      <c r="L30" t="str">
        <f>_xlfn.XLOOKUP($B30,Num_Projet,Projets!C:C,"Inexistant",0)</f>
        <v>intelligence artificielle</v>
      </c>
      <c r="M30" t="str">
        <f>_xlfn.XLOOKUP($B30,Num_Projet,Projets!D:D,"Inexistant",0)</f>
        <v>Banque Invest</v>
      </c>
      <c r="N30" s="6">
        <f>_xlfn.XLOOKUP(E30,nom_commune,villes_clients!E:E)*2</f>
        <v>410.92880972718422</v>
      </c>
      <c r="O30" s="5">
        <f>IF(F30="train",G30,_xlfn.XLOOKUP(B30,Num_Projet,Projets!G:G,0,0)*N30)</f>
        <v>3723.0150161282891</v>
      </c>
      <c r="P30" s="5">
        <f>_xlfn.XLOOKUP(_xlfn.XLOOKUP(E30,nom_commune,villes_clients!D:D,0,0),Seuil_population,Nuitée,0,1) * J30</f>
        <v>400</v>
      </c>
      <c r="Q30" s="5">
        <f>_xlfn.XLOOKUP( _xlfn.CONCAT(A30,"-",_xlfn.XLOOKUP(A30,Matr,Consultants!E:E) ),Dernier_contrat,Contrats!D:D,0,0) * IF(J30&gt;0,J30,1)</f>
        <v>1672</v>
      </c>
      <c r="R30" s="44">
        <f t="shared" si="1"/>
        <v>5795.0150161282891</v>
      </c>
      <c r="S30" s="6">
        <f>( IF(F30="train", CO2_Train, _xlfn.XLOOKUP(I30,Immat_voitures,voitures_declarees!L:L,0,0)) * N30 ) / 1000</f>
        <v>121.63492767924653</v>
      </c>
    </row>
    <row r="31" spans="1:19" x14ac:dyDescent="0.2">
      <c r="A31">
        <v>3542</v>
      </c>
      <c r="B31">
        <v>9018</v>
      </c>
      <c r="C31" s="3">
        <v>46243</v>
      </c>
      <c r="D31" s="3">
        <v>46244</v>
      </c>
      <c r="E31" t="s">
        <v>101</v>
      </c>
      <c r="F31" t="s">
        <v>82</v>
      </c>
      <c r="H31" t="s">
        <v>79</v>
      </c>
      <c r="I31" s="49" t="s">
        <v>102</v>
      </c>
      <c r="J31">
        <f t="shared" si="0"/>
        <v>1</v>
      </c>
      <c r="K31" t="str">
        <f>_xlfn.XLOOKUP($B31,Num_Projet,Projets!B:B,"Inexistant",0)</f>
        <v>Onix</v>
      </c>
      <c r="L31" t="str">
        <f>_xlfn.XLOOKUP($B31,Num_Projet,Projets!C:C,"Inexistant",0)</f>
        <v>systèmes d'information</v>
      </c>
      <c r="M31" t="str">
        <f>_xlfn.XLOOKUP($B31,Num_Projet,Projets!D:D,"Inexistant",0)</f>
        <v>Société AHT</v>
      </c>
      <c r="N31" s="6">
        <f>_xlfn.XLOOKUP(E31,nom_commune,villes_clients!E:E)*2</f>
        <v>34.000642244132983</v>
      </c>
      <c r="O31" s="5">
        <f>IF(F31="train",G31,_xlfn.XLOOKUP(B31,Num_Projet,Projets!G:G,0,0)*N31)</f>
        <v>215.5640718278031</v>
      </c>
      <c r="P31" s="5">
        <f>_xlfn.XLOOKUP(_xlfn.XLOOKUP(E31,nom_commune,villes_clients!D:D,0,0),Seuil_population,Nuitée,0,1) * J31</f>
        <v>50</v>
      </c>
      <c r="Q31" s="5">
        <f>_xlfn.XLOOKUP( _xlfn.CONCAT(A31,"-",_xlfn.XLOOKUP(A31,Matr,Consultants!E:E) ),Dernier_contrat,Contrats!D:D,0,0) * IF(J31&gt;0,J31,1)</f>
        <v>147</v>
      </c>
      <c r="R31" s="44">
        <f t="shared" si="1"/>
        <v>412.5640718278031</v>
      </c>
      <c r="S31" s="6">
        <f>( IF(F31="train", CO2_Train, _xlfn.XLOOKUP(I31,Immat_voitures,voitures_declarees!L:L,0,0)) * N31 ) / 1000</f>
        <v>6.9701316600472616</v>
      </c>
    </row>
    <row r="32" spans="1:19" x14ac:dyDescent="0.2">
      <c r="A32">
        <v>7954</v>
      </c>
      <c r="B32">
        <v>4687</v>
      </c>
      <c r="C32" s="3">
        <v>46248</v>
      </c>
      <c r="D32" s="3">
        <v>46248</v>
      </c>
      <c r="E32" t="s">
        <v>137</v>
      </c>
      <c r="F32" t="s">
        <v>82</v>
      </c>
      <c r="H32" t="s">
        <v>85</v>
      </c>
      <c r="I32" s="49" t="s">
        <v>88</v>
      </c>
      <c r="J32">
        <f t="shared" si="0"/>
        <v>1</v>
      </c>
      <c r="K32" t="str">
        <f>_xlfn.XLOOKUP($B32,Num_Projet,Projets!B:B,"Inexistant",0)</f>
        <v>Mirage</v>
      </c>
      <c r="L32" t="str">
        <f>_xlfn.XLOOKUP($B32,Num_Projet,Projets!C:C,"Inexistant",0)</f>
        <v>cybersécurité</v>
      </c>
      <c r="M32" t="str">
        <f>_xlfn.XLOOKUP($B32,Num_Projet,Projets!D:D,"Inexistant",0)</f>
        <v>Banque Invest</v>
      </c>
      <c r="N32" s="6">
        <f>_xlfn.XLOOKUP(E32,nom_commune,villes_clients!E:E)*2</f>
        <v>802.07383910513863</v>
      </c>
      <c r="O32" s="5">
        <f>IF(F32="train",G32,_xlfn.XLOOKUP(B32,Num_Projet,Projets!G:G,0,0)*N32)</f>
        <v>6801.586155611576</v>
      </c>
      <c r="P32" s="5">
        <f>_xlfn.XLOOKUP(_xlfn.XLOOKUP(E32,nom_commune,villes_clients!D:D,0,0),Seuil_population,Nuitée,0,1) * J32</f>
        <v>50</v>
      </c>
      <c r="Q32" s="5">
        <f>_xlfn.XLOOKUP( _xlfn.CONCAT(A32,"-",_xlfn.XLOOKUP(A32,Matr,Consultants!E:E) ),Dernier_contrat,Contrats!D:D,0,0) * IF(J32&gt;0,J32,1)</f>
        <v>115</v>
      </c>
      <c r="R32" s="44">
        <f t="shared" si="1"/>
        <v>5253.6896167086816</v>
      </c>
      <c r="S32" s="6">
        <f>( IF(F32="train", CO2_Train, _xlfn.XLOOKUP(I32,Immat_voitures,voitures_declarees!L:L,0,0)) * N32 ) / 1000</f>
        <v>88.22812230156525</v>
      </c>
    </row>
    <row r="33" spans="1:19" x14ac:dyDescent="0.2">
      <c r="A33">
        <v>1435</v>
      </c>
      <c r="B33">
        <v>3987</v>
      </c>
      <c r="C33" s="3">
        <v>46248</v>
      </c>
      <c r="D33" s="3">
        <v>46263</v>
      </c>
      <c r="E33" t="s">
        <v>129</v>
      </c>
      <c r="F33" t="s">
        <v>78</v>
      </c>
      <c r="G33" s="5">
        <v>97.72</v>
      </c>
      <c r="H33" t="s">
        <v>79</v>
      </c>
      <c r="J33">
        <f t="shared" si="0"/>
        <v>11</v>
      </c>
      <c r="K33" t="str">
        <f>_xlfn.XLOOKUP($B33,Num_Projet,Projets!B:B,"Inexistant",0)</f>
        <v>Gamma</v>
      </c>
      <c r="L33" t="str">
        <f>_xlfn.XLOOKUP($B33,Num_Projet,Projets!C:C,"Inexistant",0)</f>
        <v>gouvernance</v>
      </c>
      <c r="M33" t="str">
        <f>_xlfn.XLOOKUP($B33,Num_Projet,Projets!D:D,"Inexistant",0)</f>
        <v>Cooperative Muvuca</v>
      </c>
      <c r="N33" s="6">
        <f>_xlfn.XLOOKUP(E33,nom_commune,villes_clients!E:E)*2</f>
        <v>565.65078678258772</v>
      </c>
      <c r="O33" s="5">
        <f>IF(F33="train",G33,_xlfn.XLOOKUP(B33,Num_Projet,Projets!G:G,0,0)*N33)</f>
        <v>97.72</v>
      </c>
      <c r="P33" s="5">
        <f>_xlfn.XLOOKUP(_xlfn.XLOOKUP(E33,nom_commune,villes_clients!D:D,0,0),Seuil_population,Nuitée,0,1) * J33</f>
        <v>825</v>
      </c>
      <c r="Q33" s="5">
        <f>_xlfn.XLOOKUP( _xlfn.CONCAT(A33,"-",_xlfn.XLOOKUP(A33,Matr,Consultants!E:E) ),Dernier_contrat,Contrats!D:D,0,0) * IF(J33&gt;0,J33,1)</f>
        <v>1177</v>
      </c>
      <c r="R33" s="44">
        <f t="shared" si="1"/>
        <v>2099.7200000000003</v>
      </c>
      <c r="S33" s="6">
        <f>( IF(F33="train", CO2_Train, _xlfn.XLOOKUP(I33,Immat_voitures,voitures_declarees!L:L,0,0)) * N33 ) / 1000</f>
        <v>1.1313015735651755</v>
      </c>
    </row>
    <row r="34" spans="1:19" x14ac:dyDescent="0.2">
      <c r="A34">
        <v>8195</v>
      </c>
      <c r="B34">
        <v>2776</v>
      </c>
      <c r="C34" s="3">
        <v>46248</v>
      </c>
      <c r="D34" s="3">
        <v>46256</v>
      </c>
      <c r="E34" t="s">
        <v>151</v>
      </c>
      <c r="F34" t="s">
        <v>78</v>
      </c>
      <c r="G34" s="5">
        <v>179.64</v>
      </c>
      <c r="H34" t="s">
        <v>79</v>
      </c>
      <c r="J34">
        <f t="shared" si="0"/>
        <v>6</v>
      </c>
      <c r="K34" t="str">
        <f>_xlfn.XLOOKUP($B34,Num_Projet,Projets!B:B,"Inexistant",0)</f>
        <v>Destroyer</v>
      </c>
      <c r="L34" t="str">
        <f>_xlfn.XLOOKUP($B34,Num_Projet,Projets!C:C,"Inexistant",0)</f>
        <v>gouvernance</v>
      </c>
      <c r="M34" t="str">
        <f>_xlfn.XLOOKUP($B34,Num_Projet,Projets!D:D,"Inexistant",0)</f>
        <v>Groupe Oignon</v>
      </c>
      <c r="N34" s="6">
        <f>_xlfn.XLOOKUP(E34,nom_commune,villes_clients!E:E)*2</f>
        <v>801.77005840342895</v>
      </c>
      <c r="O34" s="5">
        <f>IF(F34="train",G34,_xlfn.XLOOKUP(B34,Num_Projet,Projets!G:G,0,0)*N34)</f>
        <v>179.64</v>
      </c>
      <c r="P34" s="5">
        <f>_xlfn.XLOOKUP(_xlfn.XLOOKUP(E34,nom_commune,villes_clients!D:D,0,0),Seuil_population,Nuitée,0,1) * J34</f>
        <v>600</v>
      </c>
      <c r="Q34" s="5">
        <f>_xlfn.XLOOKUP( _xlfn.CONCAT(A34,"-",_xlfn.XLOOKUP(A34,Matr,Consultants!E:E) ),Dernier_contrat,Contrats!D:D,0,0) * IF(J34&gt;0,J34,1)</f>
        <v>762</v>
      </c>
      <c r="R34" s="44">
        <f t="shared" si="1"/>
        <v>1541.6399999999999</v>
      </c>
      <c r="S34" s="6">
        <f>( IF(F34="train", CO2_Train, _xlfn.XLOOKUP(I34,Immat_voitures,voitures_declarees!L:L,0,0)) * N34 ) / 1000</f>
        <v>1.6035401168068579</v>
      </c>
    </row>
    <row r="35" spans="1:19" x14ac:dyDescent="0.2">
      <c r="A35">
        <v>4733</v>
      </c>
      <c r="B35">
        <v>9437</v>
      </c>
      <c r="C35" s="3">
        <v>46249</v>
      </c>
      <c r="D35" s="3">
        <v>46255</v>
      </c>
      <c r="E35" t="s">
        <v>97</v>
      </c>
      <c r="F35" t="s">
        <v>82</v>
      </c>
      <c r="H35" t="s">
        <v>85</v>
      </c>
      <c r="I35" s="49" t="s">
        <v>90</v>
      </c>
      <c r="J35">
        <f t="shared" si="0"/>
        <v>5</v>
      </c>
      <c r="K35" t="str">
        <f>_xlfn.XLOOKUP($B35,Num_Projet,Projets!B:B,"Inexistant",0)</f>
        <v>E30</v>
      </c>
      <c r="L35" t="str">
        <f>_xlfn.XLOOKUP($B35,Num_Projet,Projets!C:C,"Inexistant",0)</f>
        <v>gouvernance</v>
      </c>
      <c r="M35" t="str">
        <f>_xlfn.XLOOKUP($B35,Num_Projet,Projets!D:D,"Inexistant",0)</f>
        <v>Cooperative Muvuca</v>
      </c>
      <c r="N35" s="6">
        <f>_xlfn.XLOOKUP(E35,nom_commune,villes_clients!E:E)*2</f>
        <v>19.500215685582329</v>
      </c>
      <c r="O35" s="5">
        <f>IF(F35="train",G35,_xlfn.XLOOKUP(B35,Num_Projet,Projets!G:G,0,0)*N35)</f>
        <v>135.13649470108552</v>
      </c>
      <c r="P35" s="5">
        <f>_xlfn.XLOOKUP(_xlfn.XLOOKUP(E35,nom_commune,villes_clients!D:D,0,0),Seuil_population,Nuitée,0,1) * J35</f>
        <v>250</v>
      </c>
      <c r="Q35" s="5">
        <f>_xlfn.XLOOKUP( _xlfn.CONCAT(A35,"-",_xlfn.XLOOKUP(A35,Matr,Consultants!E:E) ),Dernier_contrat,Contrats!D:D,0,0) * IF(J35&gt;0,J35,1)</f>
        <v>970</v>
      </c>
      <c r="R35" s="44">
        <f t="shared" si="1"/>
        <v>1258.8523710258141</v>
      </c>
      <c r="S35" s="6">
        <f>( IF(F35="train", CO2_Train, _xlfn.XLOOKUP(I35,Immat_voitures,voitures_declarees!L:L,0,0)) * N35 ) / 1000</f>
        <v>5.7720638429323703</v>
      </c>
    </row>
    <row r="36" spans="1:19" x14ac:dyDescent="0.2">
      <c r="A36">
        <v>4744</v>
      </c>
      <c r="B36">
        <v>3987</v>
      </c>
      <c r="C36" s="3">
        <v>46249</v>
      </c>
      <c r="D36" s="3">
        <v>46255</v>
      </c>
      <c r="E36" t="s">
        <v>175</v>
      </c>
      <c r="F36" t="s">
        <v>82</v>
      </c>
      <c r="H36" t="s">
        <v>79</v>
      </c>
      <c r="I36" s="49" t="s">
        <v>88</v>
      </c>
      <c r="J36">
        <f t="shared" si="0"/>
        <v>5</v>
      </c>
      <c r="K36" t="str">
        <f>_xlfn.XLOOKUP($B36,Num_Projet,Projets!B:B,"Inexistant",0)</f>
        <v>Gamma</v>
      </c>
      <c r="L36" t="str">
        <f>_xlfn.XLOOKUP($B36,Num_Projet,Projets!C:C,"Inexistant",0)</f>
        <v>gouvernance</v>
      </c>
      <c r="M36" t="str">
        <f>_xlfn.XLOOKUP($B36,Num_Projet,Projets!D:D,"Inexistant",0)</f>
        <v>Cooperative Muvuca</v>
      </c>
      <c r="N36" s="6">
        <f>_xlfn.XLOOKUP(E36,nom_commune,villes_clients!E:E)*2</f>
        <v>10.227525426302542</v>
      </c>
      <c r="O36" s="5">
        <f>IF(F36="train",G36,_xlfn.XLOOKUP(B36,Num_Projet,Projets!G:G,0,0)*N36)</f>
        <v>100.53657494055399</v>
      </c>
      <c r="P36" s="5">
        <f>_xlfn.XLOOKUP(_xlfn.XLOOKUP(E36,nom_commune,villes_clients!D:D,0,0),Seuil_population,Nuitée,0,1) * J36</f>
        <v>250</v>
      </c>
      <c r="Q36" s="5">
        <f>_xlfn.XLOOKUP( _xlfn.CONCAT(A36,"-",_xlfn.XLOOKUP(A36,Matr,Consultants!E:E) ),Dernier_contrat,Contrats!D:D,0,0) * IF(J36&gt;0,J36,1)</f>
        <v>635</v>
      </c>
      <c r="R36" s="44">
        <f t="shared" si="1"/>
        <v>985.53657494055392</v>
      </c>
      <c r="S36" s="6">
        <f>( IF(F36="train", CO2_Train, _xlfn.XLOOKUP(I36,Immat_voitures,voitures_declarees!L:L,0,0)) * N36 ) / 1000</f>
        <v>1.1250277968932796</v>
      </c>
    </row>
    <row r="37" spans="1:19" x14ac:dyDescent="0.2">
      <c r="A37">
        <v>7954</v>
      </c>
      <c r="B37">
        <v>3394</v>
      </c>
      <c r="C37" s="3">
        <v>46251</v>
      </c>
      <c r="D37" s="3">
        <v>46256</v>
      </c>
      <c r="E37" t="s">
        <v>138</v>
      </c>
      <c r="F37" t="s">
        <v>82</v>
      </c>
      <c r="H37" t="s">
        <v>85</v>
      </c>
      <c r="I37" s="49" t="s">
        <v>114</v>
      </c>
      <c r="J37">
        <f t="shared" si="0"/>
        <v>5</v>
      </c>
      <c r="K37" t="str">
        <f>_xlfn.XLOOKUP($B37,Num_Projet,Projets!B:B,"Inexistant",0)</f>
        <v>NextGen</v>
      </c>
      <c r="L37" t="str">
        <f>_xlfn.XLOOKUP($B37,Num_Projet,Projets!C:C,"Inexistant",0)</f>
        <v>transformation digital</v>
      </c>
      <c r="M37" t="str">
        <f>_xlfn.XLOOKUP($B37,Num_Projet,Projets!D:D,"Inexistant",0)</f>
        <v>Cooperative Muvuca</v>
      </c>
      <c r="N37" s="6">
        <f>_xlfn.XLOOKUP(E37,nom_commune,villes_clients!E:E)*2</f>
        <v>1323.0721329071532</v>
      </c>
      <c r="O37" s="5">
        <f>IF(F37="train",G37,_xlfn.XLOOKUP(B37,Num_Projet,Projets!G:G,0,0)*N37)</f>
        <v>11232.882408381731</v>
      </c>
      <c r="P37" s="5">
        <f>_xlfn.XLOOKUP(_xlfn.XLOOKUP(E37,nom_commune,villes_clients!D:D,0,0),Seuil_population,Nuitée,0,1) * J37</f>
        <v>1000</v>
      </c>
      <c r="Q37" s="5">
        <f>_xlfn.XLOOKUP( _xlfn.CONCAT(A37,"-",_xlfn.XLOOKUP(A37,Matr,Consultants!E:E) ),Dernier_contrat,Contrats!D:D,0,0) * IF(J37&gt;0,J37,1)</f>
        <v>575</v>
      </c>
      <c r="R37" s="44">
        <f t="shared" si="1"/>
        <v>9749.6618062862981</v>
      </c>
      <c r="S37" s="6">
        <f>( IF(F37="train", CO2_Train, _xlfn.XLOOKUP(I37,Immat_voitures,voitures_declarees!L:L,0,0)) * N37 ) / 1000</f>
        <v>264.61442658143068</v>
      </c>
    </row>
    <row r="38" spans="1:19" x14ac:dyDescent="0.2">
      <c r="A38">
        <v>5607</v>
      </c>
      <c r="B38">
        <v>3850</v>
      </c>
      <c r="C38" s="3">
        <v>46251</v>
      </c>
      <c r="D38" s="3">
        <v>46254</v>
      </c>
      <c r="E38" t="s">
        <v>162</v>
      </c>
      <c r="F38" t="s">
        <v>78</v>
      </c>
      <c r="G38" s="5">
        <v>271.47000000000003</v>
      </c>
      <c r="H38" t="s">
        <v>79</v>
      </c>
      <c r="J38">
        <f t="shared" si="0"/>
        <v>4</v>
      </c>
      <c r="K38" t="str">
        <f>_xlfn.XLOOKUP($B38,Num_Projet,Projets!B:B,"Inexistant",0)</f>
        <v>Hercules</v>
      </c>
      <c r="L38" t="str">
        <f>_xlfn.XLOOKUP($B38,Num_Projet,Projets!C:C,"Inexistant",0)</f>
        <v>cybersécurité</v>
      </c>
      <c r="M38" t="str">
        <f>_xlfn.XLOOKUP($B38,Num_Projet,Projets!D:D,"Inexistant",0)</f>
        <v>Société AHT</v>
      </c>
      <c r="N38" s="6">
        <f>_xlfn.XLOOKUP(E38,nom_commune,villes_clients!E:E)*2</f>
        <v>882.95296153169909</v>
      </c>
      <c r="O38" s="5">
        <f>IF(F38="train",G38,_xlfn.XLOOKUP(B38,Num_Projet,Projets!G:G,0,0)*N38)</f>
        <v>271.47000000000003</v>
      </c>
      <c r="P38" s="5">
        <f>_xlfn.XLOOKUP(_xlfn.XLOOKUP(E38,nom_commune,villes_clients!D:D,0,0),Seuil_population,Nuitée,0,1) * J38</f>
        <v>200</v>
      </c>
      <c r="Q38" s="5">
        <f>_xlfn.XLOOKUP( _xlfn.CONCAT(A38,"-",_xlfn.XLOOKUP(A38,Matr,Consultants!E:E) ),Dernier_contrat,Contrats!D:D,0,0) * IF(J38&gt;0,J38,1)</f>
        <v>416</v>
      </c>
      <c r="R38" s="44">
        <f t="shared" si="1"/>
        <v>887.47</v>
      </c>
      <c r="S38" s="6">
        <f>( IF(F38="train", CO2_Train, _xlfn.XLOOKUP(I38,Immat_voitures,voitures_declarees!L:L,0,0)) * N38 ) / 1000</f>
        <v>1.7659059230633982</v>
      </c>
    </row>
    <row r="39" spans="1:19" x14ac:dyDescent="0.2">
      <c r="A39">
        <v>4359</v>
      </c>
      <c r="B39">
        <v>9437</v>
      </c>
      <c r="C39" s="3">
        <v>46251</v>
      </c>
      <c r="D39" s="3">
        <v>46259</v>
      </c>
      <c r="E39" t="s">
        <v>132</v>
      </c>
      <c r="F39" t="s">
        <v>82</v>
      </c>
      <c r="H39" t="s">
        <v>79</v>
      </c>
      <c r="I39" s="49" t="s">
        <v>112</v>
      </c>
      <c r="J39">
        <f t="shared" si="0"/>
        <v>7</v>
      </c>
      <c r="K39" t="str">
        <f>_xlfn.XLOOKUP($B39,Num_Projet,Projets!B:B,"Inexistant",0)</f>
        <v>E30</v>
      </c>
      <c r="L39" t="str">
        <f>_xlfn.XLOOKUP($B39,Num_Projet,Projets!C:C,"Inexistant",0)</f>
        <v>gouvernance</v>
      </c>
      <c r="M39" t="str">
        <f>_xlfn.XLOOKUP($B39,Num_Projet,Projets!D:D,"Inexistant",0)</f>
        <v>Cooperative Muvuca</v>
      </c>
      <c r="N39" s="6">
        <f>_xlfn.XLOOKUP(E39,nom_commune,villes_clients!E:E)*2</f>
        <v>286.21533622591346</v>
      </c>
      <c r="O39" s="5">
        <f>IF(F39="train",G39,_xlfn.XLOOKUP(B39,Num_Projet,Projets!G:G,0,0)*N39)</f>
        <v>1983.4722800455802</v>
      </c>
      <c r="P39" s="5">
        <f>_xlfn.XLOOKUP(_xlfn.XLOOKUP(E39,nom_commune,villes_clients!D:D,0,0),Seuil_population,Nuitée,0,1) * J39</f>
        <v>350</v>
      </c>
      <c r="Q39" s="5">
        <f>_xlfn.XLOOKUP( _xlfn.CONCAT(A39,"-",_xlfn.XLOOKUP(A39,Matr,Consultants!E:E) ),Dernier_contrat,Contrats!D:D,0,0) * IF(J39&gt;0,J39,1)</f>
        <v>714</v>
      </c>
      <c r="R39" s="44">
        <f t="shared" si="1"/>
        <v>3047.4722800455802</v>
      </c>
      <c r="S39" s="6">
        <f>( IF(F39="train", CO2_Train, _xlfn.XLOOKUP(I39,Immat_voitures,voitures_declarees!L:L,0,0)) * N39 ) / 1000</f>
        <v>29.480179631269085</v>
      </c>
    </row>
    <row r="40" spans="1:19" x14ac:dyDescent="0.2">
      <c r="A40">
        <v>8810</v>
      </c>
      <c r="B40">
        <v>3394</v>
      </c>
      <c r="C40" s="3">
        <v>46252</v>
      </c>
      <c r="D40" s="3">
        <v>46254</v>
      </c>
      <c r="E40" t="s">
        <v>146</v>
      </c>
      <c r="F40" t="s">
        <v>82</v>
      </c>
      <c r="H40" t="s">
        <v>79</v>
      </c>
      <c r="I40" s="49" t="s">
        <v>102</v>
      </c>
      <c r="J40">
        <f t="shared" si="0"/>
        <v>3</v>
      </c>
      <c r="K40" t="str">
        <f>_xlfn.XLOOKUP($B40,Num_Projet,Projets!B:B,"Inexistant",0)</f>
        <v>NextGen</v>
      </c>
      <c r="L40" t="str">
        <f>_xlfn.XLOOKUP($B40,Num_Projet,Projets!C:C,"Inexistant",0)</f>
        <v>transformation digital</v>
      </c>
      <c r="M40" t="str">
        <f>_xlfn.XLOOKUP($B40,Num_Projet,Projets!D:D,"Inexistant",0)</f>
        <v>Cooperative Muvuca</v>
      </c>
      <c r="N40" s="6">
        <f>_xlfn.XLOOKUP(E40,nom_commune,villes_clients!E:E)*2</f>
        <v>1382.3441482382368</v>
      </c>
      <c r="O40" s="5">
        <f>IF(F40="train",G40,_xlfn.XLOOKUP(B40,Num_Projet,Projets!G:G,0,0)*N40)</f>
        <v>11736.101818542631</v>
      </c>
      <c r="P40" s="5">
        <f>_xlfn.XLOOKUP(_xlfn.XLOOKUP(E40,nom_commune,villes_clients!D:D,0,0),Seuil_population,Nuitée,0,1) * J40</f>
        <v>150</v>
      </c>
      <c r="Q40" s="5">
        <f>_xlfn.XLOOKUP( _xlfn.CONCAT(A40,"-",_xlfn.XLOOKUP(A40,Matr,Consultants!E:E) ),Dernier_contrat,Contrats!D:D,0,0) * IF(J40&gt;0,J40,1)</f>
        <v>561</v>
      </c>
      <c r="R40" s="44">
        <f t="shared" si="1"/>
        <v>12447.101818542631</v>
      </c>
      <c r="S40" s="6">
        <f>( IF(F40="train", CO2_Train, _xlfn.XLOOKUP(I40,Immat_voitures,voitures_declarees!L:L,0,0)) * N40 ) / 1000</f>
        <v>283.38055038883857</v>
      </c>
    </row>
    <row r="41" spans="1:19" x14ac:dyDescent="0.2">
      <c r="A41">
        <v>8988</v>
      </c>
      <c r="B41">
        <v>2776</v>
      </c>
      <c r="C41" s="3">
        <v>46252</v>
      </c>
      <c r="D41" s="3">
        <v>46264</v>
      </c>
      <c r="E41" t="s">
        <v>178</v>
      </c>
      <c r="F41" t="s">
        <v>82</v>
      </c>
      <c r="H41" t="s">
        <v>85</v>
      </c>
      <c r="I41" s="49" t="s">
        <v>86</v>
      </c>
      <c r="J41">
        <f t="shared" si="0"/>
        <v>9</v>
      </c>
      <c r="K41" t="str">
        <f>_xlfn.XLOOKUP($B41,Num_Projet,Projets!B:B,"Inexistant",0)</f>
        <v>Destroyer</v>
      </c>
      <c r="L41" t="str">
        <f>_xlfn.XLOOKUP($B41,Num_Projet,Projets!C:C,"Inexistant",0)</f>
        <v>gouvernance</v>
      </c>
      <c r="M41" t="str">
        <f>_xlfn.XLOOKUP($B41,Num_Projet,Projets!D:D,"Inexistant",0)</f>
        <v>Groupe Oignon</v>
      </c>
      <c r="N41" s="6">
        <f>_xlfn.XLOOKUP(E41,nom_commune,villes_clients!E:E)*2</f>
        <v>627.46733360788642</v>
      </c>
      <c r="O41" s="5">
        <f>IF(F41="train",G41,_xlfn.XLOOKUP(B41,Num_Projet,Projets!G:G,0,0)*N41)</f>
        <v>6450.3641894890716</v>
      </c>
      <c r="P41" s="5">
        <f>_xlfn.XLOOKUP(_xlfn.XLOOKUP(E41,nom_commune,villes_clients!D:D,0,0),Seuil_population,Nuitée,0,1) * J41</f>
        <v>450</v>
      </c>
      <c r="Q41" s="5">
        <f>_xlfn.XLOOKUP( _xlfn.CONCAT(A41,"-",_xlfn.XLOOKUP(A41,Matr,Consultants!E:E) ),Dernier_contrat,Contrats!D:D,0,0) * IF(J41&gt;0,J41,1)</f>
        <v>1782</v>
      </c>
      <c r="R41" s="44">
        <f t="shared" si="1"/>
        <v>6957.2731421168037</v>
      </c>
      <c r="S41" s="6">
        <f>( IF(F41="train", CO2_Train, _xlfn.XLOOKUP(I41,Immat_voitures,voitures_declarees!L:L,0,0)) * N41 ) / 1000</f>
        <v>148.70975806506908</v>
      </c>
    </row>
    <row r="42" spans="1:19" x14ac:dyDescent="0.2">
      <c r="A42">
        <v>7063</v>
      </c>
      <c r="B42">
        <v>4687</v>
      </c>
      <c r="C42" s="3">
        <v>46253</v>
      </c>
      <c r="D42" s="3">
        <v>46266</v>
      </c>
      <c r="E42" t="s">
        <v>125</v>
      </c>
      <c r="F42" t="s">
        <v>78</v>
      </c>
      <c r="G42" s="5">
        <v>309.88</v>
      </c>
      <c r="H42" t="s">
        <v>85</v>
      </c>
      <c r="J42">
        <f t="shared" si="0"/>
        <v>10</v>
      </c>
      <c r="K42" t="str">
        <f>_xlfn.XLOOKUP($B42,Num_Projet,Projets!B:B,"Inexistant",0)</f>
        <v>Mirage</v>
      </c>
      <c r="L42" t="str">
        <f>_xlfn.XLOOKUP($B42,Num_Projet,Projets!C:C,"Inexistant",0)</f>
        <v>cybersécurité</v>
      </c>
      <c r="M42" t="str">
        <f>_xlfn.XLOOKUP($B42,Num_Projet,Projets!D:D,"Inexistant",0)</f>
        <v>Banque Invest</v>
      </c>
      <c r="N42" s="6">
        <f>_xlfn.XLOOKUP(E42,nom_commune,villes_clients!E:E)*2</f>
        <v>1300.1152115931732</v>
      </c>
      <c r="O42" s="5">
        <f>IF(F42="train",G42,_xlfn.XLOOKUP(B42,Num_Projet,Projets!G:G,0,0)*N42)</f>
        <v>309.88</v>
      </c>
      <c r="P42" s="5">
        <f>_xlfn.XLOOKUP(_xlfn.XLOOKUP(E42,nom_commune,villes_clients!D:D,0,0),Seuil_population,Nuitée,0,1) * J42</f>
        <v>750</v>
      </c>
      <c r="Q42" s="5">
        <f>_xlfn.XLOOKUP( _xlfn.CONCAT(A42,"-",_xlfn.XLOOKUP(A42,Matr,Consultants!E:E) ),Dernier_contrat,Contrats!D:D,0,0) * IF(J42&gt;0,J42,1)</f>
        <v>1420</v>
      </c>
      <c r="R42" s="44">
        <f t="shared" si="1"/>
        <v>2214.91</v>
      </c>
      <c r="S42" s="6">
        <f>( IF(F42="train", CO2_Train, _xlfn.XLOOKUP(I42,Immat_voitures,voitures_declarees!L:L,0,0)) * N42 ) / 1000</f>
        <v>2.6002304231863462</v>
      </c>
    </row>
    <row r="43" spans="1:19" x14ac:dyDescent="0.2">
      <c r="A43">
        <v>3137</v>
      </c>
      <c r="B43">
        <v>9018</v>
      </c>
      <c r="C43" s="3">
        <v>46256</v>
      </c>
      <c r="D43" s="3">
        <v>46259</v>
      </c>
      <c r="E43" t="s">
        <v>81</v>
      </c>
      <c r="F43" t="s">
        <v>82</v>
      </c>
      <c r="H43" t="s">
        <v>79</v>
      </c>
      <c r="I43" s="49" t="s">
        <v>83</v>
      </c>
      <c r="J43">
        <f t="shared" si="0"/>
        <v>2</v>
      </c>
      <c r="K43" t="str">
        <f>_xlfn.XLOOKUP($B43,Num_Projet,Projets!B:B,"Inexistant",0)</f>
        <v>Onix</v>
      </c>
      <c r="L43" t="str">
        <f>_xlfn.XLOOKUP($B43,Num_Projet,Projets!C:C,"Inexistant",0)</f>
        <v>systèmes d'information</v>
      </c>
      <c r="M43" t="str">
        <f>_xlfn.XLOOKUP($B43,Num_Projet,Projets!D:D,"Inexistant",0)</f>
        <v>Société AHT</v>
      </c>
      <c r="N43" s="6">
        <f>_xlfn.XLOOKUP(E43,nom_commune,villes_clients!E:E)*2</f>
        <v>15.392820720650741</v>
      </c>
      <c r="O43" s="5">
        <f>IF(F43="train",G43,_xlfn.XLOOKUP(B43,Num_Projet,Projets!G:G,0,0)*N43)</f>
        <v>97.590483368925703</v>
      </c>
      <c r="P43" s="5">
        <f>_xlfn.XLOOKUP(_xlfn.XLOOKUP(E43,nom_commune,villes_clients!D:D,0,0),Seuil_population,Nuitée,0,1) * J43</f>
        <v>150</v>
      </c>
      <c r="Q43" s="5">
        <f>_xlfn.XLOOKUP( _xlfn.CONCAT(A43,"-",_xlfn.XLOOKUP(A43,Matr,Consultants!E:E) ),Dernier_contrat,Contrats!D:D,0,0) * IF(J43&gt;0,J43,1)</f>
        <v>392</v>
      </c>
      <c r="R43" s="44">
        <f t="shared" si="1"/>
        <v>639.59048336892567</v>
      </c>
      <c r="S43" s="6">
        <f>( IF(F43="train", CO2_Train, _xlfn.XLOOKUP(I43,Immat_voitures,voitures_declarees!L:L,0,0)) * N43 ) / 1000</f>
        <v>2.7553149089964828</v>
      </c>
    </row>
    <row r="44" spans="1:19" x14ac:dyDescent="0.2">
      <c r="A44">
        <v>3582</v>
      </c>
      <c r="B44">
        <v>7717</v>
      </c>
      <c r="C44" s="3">
        <v>46256</v>
      </c>
      <c r="D44" s="3">
        <v>46263</v>
      </c>
      <c r="E44" t="s">
        <v>146</v>
      </c>
      <c r="F44" t="s">
        <v>78</v>
      </c>
      <c r="G44" s="5">
        <v>227.45</v>
      </c>
      <c r="H44" t="s">
        <v>79</v>
      </c>
      <c r="J44">
        <f t="shared" si="0"/>
        <v>5</v>
      </c>
      <c r="K44" t="str">
        <f>_xlfn.XLOOKUP($B44,Num_Projet,Projets!B:B,"Inexistant",0)</f>
        <v>Alpha</v>
      </c>
      <c r="L44" t="str">
        <f>_xlfn.XLOOKUP($B44,Num_Projet,Projets!C:C,"Inexistant",0)</f>
        <v>gouvernance</v>
      </c>
      <c r="M44" t="str">
        <f>_xlfn.XLOOKUP($B44,Num_Projet,Projets!D:D,"Inexistant",0)</f>
        <v>Industries Nova Tech</v>
      </c>
      <c r="N44" s="6">
        <f>_xlfn.XLOOKUP(E44,nom_commune,villes_clients!E:E)*2</f>
        <v>1382.3441482382368</v>
      </c>
      <c r="O44" s="5">
        <f>IF(F44="train",G44,_xlfn.XLOOKUP(B44,Num_Projet,Projets!G:G,0,0)*N44)</f>
        <v>227.45</v>
      </c>
      <c r="P44" s="5">
        <f>_xlfn.XLOOKUP(_xlfn.XLOOKUP(E44,nom_commune,villes_clients!D:D,0,0),Seuil_population,Nuitée,0,1) * J44</f>
        <v>250</v>
      </c>
      <c r="Q44" s="5">
        <f>_xlfn.XLOOKUP( _xlfn.CONCAT(A44,"-",_xlfn.XLOOKUP(A44,Matr,Consultants!E:E) ),Dernier_contrat,Contrats!D:D,0,0) * IF(J44&gt;0,J44,1)</f>
        <v>420</v>
      </c>
      <c r="R44" s="44">
        <f t="shared" si="1"/>
        <v>897.45</v>
      </c>
      <c r="S44" s="6">
        <f>( IF(F44="train", CO2_Train, _xlfn.XLOOKUP(I44,Immat_voitures,voitures_declarees!L:L,0,0)) * N44 ) / 1000</f>
        <v>2.7646882964764736</v>
      </c>
    </row>
    <row r="45" spans="1:19" x14ac:dyDescent="0.2">
      <c r="A45">
        <v>4744</v>
      </c>
      <c r="B45">
        <v>1309</v>
      </c>
      <c r="C45" s="3">
        <v>46256</v>
      </c>
      <c r="D45" s="3">
        <v>46264</v>
      </c>
      <c r="E45" t="s">
        <v>135</v>
      </c>
      <c r="F45" t="s">
        <v>82</v>
      </c>
      <c r="H45" t="s">
        <v>85</v>
      </c>
      <c r="I45" s="49" t="s">
        <v>90</v>
      </c>
      <c r="J45">
        <f t="shared" si="0"/>
        <v>5</v>
      </c>
      <c r="K45" t="str">
        <f>_xlfn.XLOOKUP($B45,Num_Projet,Projets!B:B,"Inexistant",0)</f>
        <v>Arc25</v>
      </c>
      <c r="L45" t="str">
        <f>_xlfn.XLOOKUP($B45,Num_Projet,Projets!C:C,"Inexistant",0)</f>
        <v>intelligence artificielle</v>
      </c>
      <c r="M45" t="str">
        <f>_xlfn.XLOOKUP($B45,Num_Projet,Projets!D:D,"Inexistant",0)</f>
        <v>Banque Invest</v>
      </c>
      <c r="N45" s="6">
        <f>_xlfn.XLOOKUP(E45,nom_commune,villes_clients!E:E)*2</f>
        <v>800.05371112944306</v>
      </c>
      <c r="O45" s="5">
        <f>IF(F45="train",G45,_xlfn.XLOOKUP(B45,Num_Projet,Projets!G:G,0,0)*N45)</f>
        <v>7248.4866228327546</v>
      </c>
      <c r="P45" s="5">
        <f>_xlfn.XLOOKUP(_xlfn.XLOOKUP(E45,nom_commune,villes_clients!D:D,0,0),Seuil_population,Nuitée,0,1) * J45</f>
        <v>375</v>
      </c>
      <c r="Q45" s="5">
        <f>_xlfn.XLOOKUP( _xlfn.CONCAT(A45,"-",_xlfn.XLOOKUP(A45,Matr,Consultants!E:E) ),Dernier_contrat,Contrats!D:D,0,0) * IF(J45&gt;0,J45,1)</f>
        <v>635</v>
      </c>
      <c r="R45" s="44">
        <f t="shared" si="1"/>
        <v>6352.6149671245657</v>
      </c>
      <c r="S45" s="6">
        <f>( IF(F45="train", CO2_Train, _xlfn.XLOOKUP(I45,Immat_voitures,voitures_declarees!L:L,0,0)) * N45 ) / 1000</f>
        <v>236.81589849431515</v>
      </c>
    </row>
    <row r="46" spans="1:19" x14ac:dyDescent="0.2">
      <c r="A46">
        <v>8195</v>
      </c>
      <c r="B46">
        <v>9437</v>
      </c>
      <c r="C46" s="3">
        <v>46257</v>
      </c>
      <c r="D46" s="3">
        <v>46270</v>
      </c>
      <c r="E46" t="s">
        <v>119</v>
      </c>
      <c r="F46" t="s">
        <v>82</v>
      </c>
      <c r="H46" t="s">
        <v>79</v>
      </c>
      <c r="I46" s="49" t="s">
        <v>83</v>
      </c>
      <c r="J46">
        <f t="shared" si="0"/>
        <v>10</v>
      </c>
      <c r="K46" t="str">
        <f>_xlfn.XLOOKUP($B46,Num_Projet,Projets!B:B,"Inexistant",0)</f>
        <v>E30</v>
      </c>
      <c r="L46" t="str">
        <f>_xlfn.XLOOKUP($B46,Num_Projet,Projets!C:C,"Inexistant",0)</f>
        <v>gouvernance</v>
      </c>
      <c r="M46" t="str">
        <f>_xlfn.XLOOKUP($B46,Num_Projet,Projets!D:D,"Inexistant",0)</f>
        <v>Cooperative Muvuca</v>
      </c>
      <c r="N46" s="6">
        <f>_xlfn.XLOOKUP(E46,nom_commune,villes_clients!E:E)*2</f>
        <v>11.430453806573089</v>
      </c>
      <c r="O46" s="5">
        <f>IF(F46="train",G46,_xlfn.XLOOKUP(B46,Num_Projet,Projets!G:G,0,0)*N46)</f>
        <v>79.213044879551504</v>
      </c>
      <c r="P46" s="5">
        <f>_xlfn.XLOOKUP(_xlfn.XLOOKUP(E46,nom_commune,villes_clients!D:D,0,0),Seuil_population,Nuitée,0,1) * J46</f>
        <v>500</v>
      </c>
      <c r="Q46" s="5">
        <f>_xlfn.XLOOKUP( _xlfn.CONCAT(A46,"-",_xlfn.XLOOKUP(A46,Matr,Consultants!E:E) ),Dernier_contrat,Contrats!D:D,0,0) * IF(J46&gt;0,J46,1)</f>
        <v>1270</v>
      </c>
      <c r="R46" s="44">
        <f t="shared" si="1"/>
        <v>1849.2130448795515</v>
      </c>
      <c r="S46" s="6">
        <f>( IF(F46="train", CO2_Train, _xlfn.XLOOKUP(I46,Immat_voitures,voitures_declarees!L:L,0,0)) * N46 ) / 1000</f>
        <v>2.0460512313765831</v>
      </c>
    </row>
    <row r="47" spans="1:19" x14ac:dyDescent="0.2">
      <c r="A47">
        <v>4641</v>
      </c>
      <c r="B47">
        <v>7717</v>
      </c>
      <c r="C47" s="3">
        <v>46258</v>
      </c>
      <c r="D47" s="3">
        <v>46260</v>
      </c>
      <c r="E47" t="s">
        <v>155</v>
      </c>
      <c r="F47" t="s">
        <v>82</v>
      </c>
      <c r="H47" t="s">
        <v>85</v>
      </c>
      <c r="I47" s="49" t="s">
        <v>92</v>
      </c>
      <c r="J47">
        <f t="shared" si="0"/>
        <v>3</v>
      </c>
      <c r="K47" t="str">
        <f>_xlfn.XLOOKUP($B47,Num_Projet,Projets!B:B,"Inexistant",0)</f>
        <v>Alpha</v>
      </c>
      <c r="L47" t="str">
        <f>_xlfn.XLOOKUP($B47,Num_Projet,Projets!C:C,"Inexistant",0)</f>
        <v>gouvernance</v>
      </c>
      <c r="M47" t="str">
        <f>_xlfn.XLOOKUP($B47,Num_Projet,Projets!D:D,"Inexistant",0)</f>
        <v>Industries Nova Tech</v>
      </c>
      <c r="N47" s="6">
        <f>_xlfn.XLOOKUP(E47,nom_commune,villes_clients!E:E)*2</f>
        <v>222.4714022436518</v>
      </c>
      <c r="O47" s="5">
        <f>IF(F47="train",G47,_xlfn.XLOOKUP(B47,Num_Projet,Projets!G:G,0,0)*N47)</f>
        <v>1873.2092068915481</v>
      </c>
      <c r="P47" s="5">
        <f>_xlfn.XLOOKUP(_xlfn.XLOOKUP(E47,nom_commune,villes_clients!D:D,0,0),Seuil_population,Nuitée,0,1) * J47</f>
        <v>225</v>
      </c>
      <c r="Q47" s="5">
        <f>_xlfn.XLOOKUP( _xlfn.CONCAT(A47,"-",_xlfn.XLOOKUP(A47,Matr,Consultants!E:E) ),Dernier_contrat,Contrats!D:D,0,0) * IF(J47&gt;0,J47,1)</f>
        <v>411</v>
      </c>
      <c r="R47" s="44">
        <f t="shared" si="1"/>
        <v>1984.6569051686611</v>
      </c>
      <c r="S47" s="6">
        <f>( IF(F47="train", CO2_Train, _xlfn.XLOOKUP(I47,Immat_voitures,voitures_declarees!L:L,0,0)) * N47 ) / 1000</f>
        <v>34.483067347766031</v>
      </c>
    </row>
    <row r="48" spans="1:19" x14ac:dyDescent="0.2">
      <c r="A48">
        <v>4751</v>
      </c>
      <c r="B48">
        <v>3394</v>
      </c>
      <c r="C48" s="3">
        <v>46260</v>
      </c>
      <c r="D48" s="3">
        <v>46268</v>
      </c>
      <c r="E48" t="s">
        <v>122</v>
      </c>
      <c r="F48" t="s">
        <v>82</v>
      </c>
      <c r="H48" t="s">
        <v>85</v>
      </c>
      <c r="I48" s="49" t="s">
        <v>112</v>
      </c>
      <c r="J48">
        <f t="shared" si="0"/>
        <v>7</v>
      </c>
      <c r="K48" t="str">
        <f>_xlfn.XLOOKUP($B48,Num_Projet,Projets!B:B,"Inexistant",0)</f>
        <v>NextGen</v>
      </c>
      <c r="L48" t="str">
        <f>_xlfn.XLOOKUP($B48,Num_Projet,Projets!C:C,"Inexistant",0)</f>
        <v>transformation digital</v>
      </c>
      <c r="M48" t="str">
        <f>_xlfn.XLOOKUP($B48,Num_Projet,Projets!D:D,"Inexistant",0)</f>
        <v>Cooperative Muvuca</v>
      </c>
      <c r="N48" s="6">
        <f>_xlfn.XLOOKUP(E48,nom_commune,villes_clients!E:E)*2</f>
        <v>423.94716370353035</v>
      </c>
      <c r="O48" s="5">
        <f>IF(F48="train",G48,_xlfn.XLOOKUP(B48,Num_Projet,Projets!G:G,0,0)*N48)</f>
        <v>3599.3114198429726</v>
      </c>
      <c r="P48" s="5">
        <f>_xlfn.XLOOKUP(_xlfn.XLOOKUP(E48,nom_commune,villes_clients!D:D,0,0),Seuil_population,Nuitée,0,1) * J48</f>
        <v>525</v>
      </c>
      <c r="Q48" s="5">
        <f>_xlfn.XLOOKUP( _xlfn.CONCAT(A48,"-",_xlfn.XLOOKUP(A48,Matr,Consultants!E:E) ),Dernier_contrat,Contrats!D:D,0,0) * IF(J48&gt;0,J48,1)</f>
        <v>1022</v>
      </c>
      <c r="R48" s="44">
        <f t="shared" si="1"/>
        <v>4115.2335648822291</v>
      </c>
      <c r="S48" s="6">
        <f>( IF(F48="train", CO2_Train, _xlfn.XLOOKUP(I48,Immat_voitures,voitures_declarees!L:L,0,0)) * N48 ) / 1000</f>
        <v>43.666557861463623</v>
      </c>
    </row>
    <row r="49" spans="1:19" x14ac:dyDescent="0.2">
      <c r="A49">
        <v>5211</v>
      </c>
      <c r="B49">
        <v>3987</v>
      </c>
      <c r="C49" s="3">
        <v>46260</v>
      </c>
      <c r="D49" s="3">
        <v>46269</v>
      </c>
      <c r="E49" t="s">
        <v>143</v>
      </c>
      <c r="F49" t="s">
        <v>78</v>
      </c>
      <c r="G49" s="5">
        <v>255.84</v>
      </c>
      <c r="H49" t="s">
        <v>79</v>
      </c>
      <c r="J49">
        <f t="shared" si="0"/>
        <v>8</v>
      </c>
      <c r="K49" t="str">
        <f>_xlfn.XLOOKUP($B49,Num_Projet,Projets!B:B,"Inexistant",0)</f>
        <v>Gamma</v>
      </c>
      <c r="L49" t="str">
        <f>_xlfn.XLOOKUP($B49,Num_Projet,Projets!C:C,"Inexistant",0)</f>
        <v>gouvernance</v>
      </c>
      <c r="M49" t="str">
        <f>_xlfn.XLOOKUP($B49,Num_Projet,Projets!D:D,"Inexistant",0)</f>
        <v>Cooperative Muvuca</v>
      </c>
      <c r="N49" s="6">
        <f>_xlfn.XLOOKUP(E49,nom_commune,villes_clients!E:E)*2</f>
        <v>907.84905035975316</v>
      </c>
      <c r="O49" s="5">
        <f>IF(F49="train",G49,_xlfn.XLOOKUP(B49,Num_Projet,Projets!G:G,0,0)*N49)</f>
        <v>255.84</v>
      </c>
      <c r="P49" s="5">
        <f>_xlfn.XLOOKUP(_xlfn.XLOOKUP(E49,nom_commune,villes_clients!D:D,0,0),Seuil_population,Nuitée,0,1) * J49</f>
        <v>400</v>
      </c>
      <c r="Q49" s="5">
        <f>_xlfn.XLOOKUP( _xlfn.CONCAT(A49,"-",_xlfn.XLOOKUP(A49,Matr,Consultants!E:E) ),Dernier_contrat,Contrats!D:D,0,0) * IF(J49&gt;0,J49,1)</f>
        <v>1416</v>
      </c>
      <c r="R49" s="44">
        <f t="shared" si="1"/>
        <v>2071.84</v>
      </c>
      <c r="S49" s="6">
        <f>( IF(F49="train", CO2_Train, _xlfn.XLOOKUP(I49,Immat_voitures,voitures_declarees!L:L,0,0)) * N49 ) / 1000</f>
        <v>1.8156981007195063</v>
      </c>
    </row>
    <row r="50" spans="1:19" x14ac:dyDescent="0.2">
      <c r="A50">
        <v>5959</v>
      </c>
      <c r="B50">
        <v>6665</v>
      </c>
      <c r="C50" s="3">
        <v>46263</v>
      </c>
      <c r="D50" s="3">
        <v>46278</v>
      </c>
      <c r="E50" t="s">
        <v>128</v>
      </c>
      <c r="F50" t="s">
        <v>78</v>
      </c>
      <c r="G50" s="5">
        <v>291.04000000000002</v>
      </c>
      <c r="H50" t="s">
        <v>79</v>
      </c>
      <c r="J50">
        <f t="shared" si="0"/>
        <v>10</v>
      </c>
      <c r="K50" t="str">
        <f>_xlfn.XLOOKUP($B50,Num_Projet,Projets!B:B,"Inexistant",0)</f>
        <v>Orion</v>
      </c>
      <c r="L50" t="str">
        <f>_xlfn.XLOOKUP($B50,Num_Projet,Projets!C:C,"Inexistant",0)</f>
        <v>gouvernance</v>
      </c>
      <c r="M50" t="str">
        <f>_xlfn.XLOOKUP($B50,Num_Projet,Projets!D:D,"Inexistant",0)</f>
        <v>Industries Nova Tech</v>
      </c>
      <c r="N50" s="6">
        <f>_xlfn.XLOOKUP(E50,nom_commune,villes_clients!E:E)*2</f>
        <v>764.75255111810895</v>
      </c>
      <c r="O50" s="5">
        <f>IF(F50="train",G50,_xlfn.XLOOKUP(B50,Num_Projet,Projets!G:G,0,0)*N50)</f>
        <v>291.04000000000002</v>
      </c>
      <c r="P50" s="5">
        <f>_xlfn.XLOOKUP(_xlfn.XLOOKUP(E50,nom_commune,villes_clients!D:D,0,0),Seuil_population,Nuitée,0,1) * J50</f>
        <v>500</v>
      </c>
      <c r="Q50" s="5">
        <f>_xlfn.XLOOKUP( _xlfn.CONCAT(A50,"-",_xlfn.XLOOKUP(A50,Matr,Consultants!E:E) ),Dernier_contrat,Contrats!D:D,0,0) * IF(J50&gt;0,J50,1)</f>
        <v>1980</v>
      </c>
      <c r="R50" s="44">
        <f t="shared" si="1"/>
        <v>2771.04</v>
      </c>
      <c r="S50" s="6">
        <f>( IF(F50="train", CO2_Train, _xlfn.XLOOKUP(I50,Immat_voitures,voitures_declarees!L:L,0,0)) * N50 ) / 1000</f>
        <v>1.5295051022362178</v>
      </c>
    </row>
    <row r="51" spans="1:19" x14ac:dyDescent="0.2">
      <c r="A51">
        <v>3772</v>
      </c>
      <c r="B51">
        <v>9018</v>
      </c>
      <c r="C51" s="3">
        <v>46263</v>
      </c>
      <c r="D51" s="3">
        <v>46275</v>
      </c>
      <c r="E51" t="s">
        <v>150</v>
      </c>
      <c r="F51" t="s">
        <v>78</v>
      </c>
      <c r="G51" s="5">
        <v>233.55</v>
      </c>
      <c r="H51" t="s">
        <v>79</v>
      </c>
      <c r="J51">
        <f t="shared" si="0"/>
        <v>9</v>
      </c>
      <c r="K51" t="str">
        <f>_xlfn.XLOOKUP($B51,Num_Projet,Projets!B:B,"Inexistant",0)</f>
        <v>Onix</v>
      </c>
      <c r="L51" t="str">
        <f>_xlfn.XLOOKUP($B51,Num_Projet,Projets!C:C,"Inexistant",0)</f>
        <v>systèmes d'information</v>
      </c>
      <c r="M51" t="str">
        <f>_xlfn.XLOOKUP($B51,Num_Projet,Projets!D:D,"Inexistant",0)</f>
        <v>Société AHT</v>
      </c>
      <c r="N51" s="6">
        <f>_xlfn.XLOOKUP(E51,nom_commune,villes_clients!E:E)*2</f>
        <v>694.23863342015648</v>
      </c>
      <c r="O51" s="5">
        <f>IF(F51="train",G51,_xlfn.XLOOKUP(B51,Num_Projet,Projets!G:G,0,0)*N51)</f>
        <v>233.55</v>
      </c>
      <c r="P51" s="5">
        <f>_xlfn.XLOOKUP(_xlfn.XLOOKUP(E51,nom_commune,villes_clients!D:D,0,0),Seuil_population,Nuitée,0,1) * J51</f>
        <v>675</v>
      </c>
      <c r="Q51" s="5">
        <f>_xlfn.XLOOKUP( _xlfn.CONCAT(A51,"-",_xlfn.XLOOKUP(A51,Matr,Consultants!E:E) ),Dernier_contrat,Contrats!D:D,0,0) * IF(J51&gt;0,J51,1)</f>
        <v>1845</v>
      </c>
      <c r="R51" s="44">
        <f t="shared" si="1"/>
        <v>2753.55</v>
      </c>
      <c r="S51" s="6">
        <f>( IF(F51="train", CO2_Train, _xlfn.XLOOKUP(I51,Immat_voitures,voitures_declarees!L:L,0,0)) * N51 ) / 1000</f>
        <v>1.3884772668403129</v>
      </c>
    </row>
    <row r="52" spans="1:19" x14ac:dyDescent="0.2">
      <c r="A52">
        <v>3542</v>
      </c>
      <c r="B52">
        <v>6665</v>
      </c>
      <c r="C52" s="3">
        <v>46264</v>
      </c>
      <c r="D52" s="3">
        <v>46266</v>
      </c>
      <c r="E52" t="s">
        <v>103</v>
      </c>
      <c r="F52" t="s">
        <v>82</v>
      </c>
      <c r="H52" t="s">
        <v>79</v>
      </c>
      <c r="I52" s="49" t="s">
        <v>92</v>
      </c>
      <c r="J52">
        <f t="shared" si="0"/>
        <v>2</v>
      </c>
      <c r="K52" t="str">
        <f>_xlfn.XLOOKUP($B52,Num_Projet,Projets!B:B,"Inexistant",0)</f>
        <v>Orion</v>
      </c>
      <c r="L52" t="str">
        <f>_xlfn.XLOOKUP($B52,Num_Projet,Projets!C:C,"Inexistant",0)</f>
        <v>gouvernance</v>
      </c>
      <c r="M52" t="str">
        <f>_xlfn.XLOOKUP($B52,Num_Projet,Projets!D:D,"Inexistant",0)</f>
        <v>Industries Nova Tech</v>
      </c>
      <c r="N52" s="6">
        <f>_xlfn.XLOOKUP(E52,nom_commune,villes_clients!E:E)*2</f>
        <v>20.896295688641462</v>
      </c>
      <c r="O52" s="5">
        <f>IF(F52="train",G52,_xlfn.XLOOKUP(B52,Num_Projet,Projets!G:G,0,0)*N52)</f>
        <v>248.456955737947</v>
      </c>
      <c r="P52" s="5">
        <f>_xlfn.XLOOKUP(_xlfn.XLOOKUP(E52,nom_commune,villes_clients!D:D,0,0),Seuil_population,Nuitée,0,1) * J52</f>
        <v>100</v>
      </c>
      <c r="Q52" s="5">
        <f>_xlfn.XLOOKUP( _xlfn.CONCAT(A52,"-",_xlfn.XLOOKUP(A52,Matr,Consultants!E:E) ),Dernier_contrat,Contrats!D:D,0,0) * IF(J52&gt;0,J52,1)</f>
        <v>294</v>
      </c>
      <c r="R52" s="44">
        <f t="shared" si="1"/>
        <v>642.45695573794706</v>
      </c>
      <c r="S52" s="6">
        <f>( IF(F52="train", CO2_Train, _xlfn.XLOOKUP(I52,Immat_voitures,voitures_declarees!L:L,0,0)) * N52 ) / 1000</f>
        <v>3.2389258317394263</v>
      </c>
    </row>
    <row r="53" spans="1:19" x14ac:dyDescent="0.2">
      <c r="A53">
        <v>8810</v>
      </c>
      <c r="B53">
        <v>2776</v>
      </c>
      <c r="C53" s="3">
        <v>46266</v>
      </c>
      <c r="D53" s="3">
        <v>46267</v>
      </c>
      <c r="E53" t="s">
        <v>147</v>
      </c>
      <c r="F53" t="s">
        <v>82</v>
      </c>
      <c r="H53" t="s">
        <v>85</v>
      </c>
      <c r="I53" s="49" t="s">
        <v>88</v>
      </c>
      <c r="J53">
        <f t="shared" si="0"/>
        <v>2</v>
      </c>
      <c r="K53" t="str">
        <f>_xlfn.XLOOKUP($B53,Num_Projet,Projets!B:B,"Inexistant",0)</f>
        <v>Destroyer</v>
      </c>
      <c r="L53" t="str">
        <f>_xlfn.XLOOKUP($B53,Num_Projet,Projets!C:C,"Inexistant",0)</f>
        <v>gouvernance</v>
      </c>
      <c r="M53" t="str">
        <f>_xlfn.XLOOKUP($B53,Num_Projet,Projets!D:D,"Inexistant",0)</f>
        <v>Groupe Oignon</v>
      </c>
      <c r="N53" s="6">
        <f>_xlfn.XLOOKUP(E53,nom_commune,villes_clients!E:E)*2</f>
        <v>1234.9147731955879</v>
      </c>
      <c r="O53" s="5">
        <f>IF(F53="train",G53,_xlfn.XLOOKUP(B53,Num_Projet,Projets!G:G,0,0)*N53)</f>
        <v>12694.923868450644</v>
      </c>
      <c r="P53" s="5">
        <f>_xlfn.XLOOKUP(_xlfn.XLOOKUP(E53,nom_commune,villes_clients!D:D,0,0),Seuil_population,Nuitée,0,1) * J53</f>
        <v>100</v>
      </c>
      <c r="Q53" s="5">
        <f>_xlfn.XLOOKUP( _xlfn.CONCAT(A53,"-",_xlfn.XLOOKUP(A53,Matr,Consultants!E:E) ),Dernier_contrat,Contrats!D:D,0,0) * IF(J53&gt;0,J53,1)</f>
        <v>374</v>
      </c>
      <c r="R53" s="44">
        <f t="shared" si="1"/>
        <v>9970.1929013379831</v>
      </c>
      <c r="S53" s="6">
        <f>( IF(F53="train", CO2_Train, _xlfn.XLOOKUP(I53,Immat_voitures,voitures_declarees!L:L,0,0)) * N53 ) / 1000</f>
        <v>135.84062505151468</v>
      </c>
    </row>
    <row r="54" spans="1:19" x14ac:dyDescent="0.2">
      <c r="A54">
        <v>5607</v>
      </c>
      <c r="B54">
        <v>3850</v>
      </c>
      <c r="C54" s="3">
        <v>46266</v>
      </c>
      <c r="D54" s="3">
        <v>46267</v>
      </c>
      <c r="E54" t="s">
        <v>133</v>
      </c>
      <c r="F54" t="s">
        <v>82</v>
      </c>
      <c r="H54" t="s">
        <v>85</v>
      </c>
      <c r="I54" s="49" t="s">
        <v>102</v>
      </c>
      <c r="J54">
        <f t="shared" si="0"/>
        <v>2</v>
      </c>
      <c r="K54" t="str">
        <f>_xlfn.XLOOKUP($B54,Num_Projet,Projets!B:B,"Inexistant",0)</f>
        <v>Hercules</v>
      </c>
      <c r="L54" t="str">
        <f>_xlfn.XLOOKUP($B54,Num_Projet,Projets!C:C,"Inexistant",0)</f>
        <v>cybersécurité</v>
      </c>
      <c r="M54" t="str">
        <f>_xlfn.XLOOKUP($B54,Num_Projet,Projets!D:D,"Inexistant",0)</f>
        <v>Société AHT</v>
      </c>
      <c r="N54" s="6">
        <f>_xlfn.XLOOKUP(E54,nom_commune,villes_clients!E:E)*2</f>
        <v>20.412162969195503</v>
      </c>
      <c r="O54" s="5">
        <f>IF(F54="train",G54,_xlfn.XLOOKUP(B54,Num_Projet,Projets!G:G,0,0)*N54)</f>
        <v>241.27176629589084</v>
      </c>
      <c r="P54" s="5">
        <f>_xlfn.XLOOKUP(_xlfn.XLOOKUP(E54,nom_commune,villes_clients!D:D,0,0),Seuil_population,Nuitée,0,1) * J54</f>
        <v>150</v>
      </c>
      <c r="Q54" s="5">
        <f>_xlfn.XLOOKUP( _xlfn.CONCAT(A54,"-",_xlfn.XLOOKUP(A54,Matr,Consultants!E:E) ),Dernier_contrat,Contrats!D:D,0,0) * IF(J54&gt;0,J54,1)</f>
        <v>208</v>
      </c>
      <c r="R54" s="44">
        <f t="shared" si="1"/>
        <v>501.45382472191818</v>
      </c>
      <c r="S54" s="6">
        <f>( IF(F54="train", CO2_Train, _xlfn.XLOOKUP(I54,Immat_voitures,voitures_declarees!L:L,0,0)) * N54 ) / 1000</f>
        <v>4.1844934086850785</v>
      </c>
    </row>
    <row r="55" spans="1:19" x14ac:dyDescent="0.2">
      <c r="A55">
        <v>4641</v>
      </c>
      <c r="B55">
        <v>1309</v>
      </c>
      <c r="C55" s="3">
        <v>46267</v>
      </c>
      <c r="D55" s="3">
        <v>46274</v>
      </c>
      <c r="E55" t="s">
        <v>125</v>
      </c>
      <c r="F55" t="s">
        <v>78</v>
      </c>
      <c r="G55" s="5">
        <v>185.63</v>
      </c>
      <c r="H55" t="s">
        <v>85</v>
      </c>
      <c r="J55">
        <f t="shared" si="0"/>
        <v>6</v>
      </c>
      <c r="K55" t="str">
        <f>_xlfn.XLOOKUP($B55,Num_Projet,Projets!B:B,"Inexistant",0)</f>
        <v>Arc25</v>
      </c>
      <c r="L55" t="str">
        <f>_xlfn.XLOOKUP($B55,Num_Projet,Projets!C:C,"Inexistant",0)</f>
        <v>intelligence artificielle</v>
      </c>
      <c r="M55" t="str">
        <f>_xlfn.XLOOKUP($B55,Num_Projet,Projets!D:D,"Inexistant",0)</f>
        <v>Banque Invest</v>
      </c>
      <c r="N55" s="6">
        <f>_xlfn.XLOOKUP(E55,nom_commune,villes_clients!E:E)*2</f>
        <v>1300.1152115931732</v>
      </c>
      <c r="O55" s="5">
        <f>IF(F55="train",G55,_xlfn.XLOOKUP(B55,Num_Projet,Projets!G:G,0,0)*N55)</f>
        <v>185.63</v>
      </c>
      <c r="P55" s="5">
        <f>_xlfn.XLOOKUP(_xlfn.XLOOKUP(E55,nom_commune,villes_clients!D:D,0,0),Seuil_population,Nuitée,0,1) * J55</f>
        <v>450</v>
      </c>
      <c r="Q55" s="5">
        <f>_xlfn.XLOOKUP( _xlfn.CONCAT(A55,"-",_xlfn.XLOOKUP(A55,Matr,Consultants!E:E) ),Dernier_contrat,Contrats!D:D,0,0) * IF(J55&gt;0,J55,1)</f>
        <v>822</v>
      </c>
      <c r="R55" s="44">
        <f t="shared" si="1"/>
        <v>1298.7224999999999</v>
      </c>
      <c r="S55" s="6">
        <f>( IF(F55="train", CO2_Train, _xlfn.XLOOKUP(I55,Immat_voitures,voitures_declarees!L:L,0,0)) * N55 ) / 1000</f>
        <v>2.6002304231863462</v>
      </c>
    </row>
    <row r="56" spans="1:19" x14ac:dyDescent="0.2">
      <c r="A56">
        <v>7063</v>
      </c>
      <c r="B56">
        <v>9018</v>
      </c>
      <c r="C56" s="3">
        <v>46273</v>
      </c>
      <c r="D56" s="3">
        <v>46278</v>
      </c>
      <c r="E56" t="s">
        <v>99</v>
      </c>
      <c r="F56" t="s">
        <v>82</v>
      </c>
      <c r="H56" t="s">
        <v>85</v>
      </c>
      <c r="I56" s="49" t="s">
        <v>90</v>
      </c>
      <c r="J56">
        <f t="shared" si="0"/>
        <v>4</v>
      </c>
      <c r="K56" t="str">
        <f>_xlfn.XLOOKUP($B56,Num_Projet,Projets!B:B,"Inexistant",0)</f>
        <v>Onix</v>
      </c>
      <c r="L56" t="str">
        <f>_xlfn.XLOOKUP($B56,Num_Projet,Projets!C:C,"Inexistant",0)</f>
        <v>systèmes d'information</v>
      </c>
      <c r="M56" t="str">
        <f>_xlfn.XLOOKUP($B56,Num_Projet,Projets!D:D,"Inexistant",0)</f>
        <v>Société AHT</v>
      </c>
      <c r="N56" s="6">
        <f>_xlfn.XLOOKUP(E56,nom_commune,villes_clients!E:E)*2</f>
        <v>401.30764654622021</v>
      </c>
      <c r="O56" s="5">
        <f>IF(F56="train",G56,_xlfn.XLOOKUP(B56,Num_Projet,Projets!G:G,0,0)*N56)</f>
        <v>2544.290479103036</v>
      </c>
      <c r="P56" s="5">
        <f>_xlfn.XLOOKUP(_xlfn.XLOOKUP(E56,nom_commune,villes_clients!D:D,0,0),Seuil_population,Nuitée,0,1) * J56</f>
        <v>200</v>
      </c>
      <c r="Q56" s="5">
        <f>_xlfn.XLOOKUP( _xlfn.CONCAT(A56,"-",_xlfn.XLOOKUP(A56,Matr,Consultants!E:E) ),Dernier_contrat,Contrats!D:D,0,0) * IF(J56&gt;0,J56,1)</f>
        <v>568</v>
      </c>
      <c r="R56" s="44">
        <f t="shared" si="1"/>
        <v>2626.217859327277</v>
      </c>
      <c r="S56" s="6">
        <f>( IF(F56="train", CO2_Train, _xlfn.XLOOKUP(I56,Immat_voitures,voitures_declarees!L:L,0,0)) * N56 ) / 1000</f>
        <v>118.78706337768119</v>
      </c>
    </row>
    <row r="57" spans="1:19" x14ac:dyDescent="0.2">
      <c r="A57">
        <v>7175</v>
      </c>
      <c r="B57">
        <v>7717</v>
      </c>
      <c r="C57" s="3">
        <v>46273</v>
      </c>
      <c r="D57" s="3">
        <v>46286</v>
      </c>
      <c r="E57" t="s">
        <v>168</v>
      </c>
      <c r="F57" t="s">
        <v>82</v>
      </c>
      <c r="H57" t="s">
        <v>79</v>
      </c>
      <c r="I57" s="49" t="s">
        <v>102</v>
      </c>
      <c r="J57">
        <f t="shared" si="0"/>
        <v>10</v>
      </c>
      <c r="K57" t="str">
        <f>_xlfn.XLOOKUP($B57,Num_Projet,Projets!B:B,"Inexistant",0)</f>
        <v>Alpha</v>
      </c>
      <c r="L57" t="str">
        <f>_xlfn.XLOOKUP($B57,Num_Projet,Projets!C:C,"Inexistant",0)</f>
        <v>gouvernance</v>
      </c>
      <c r="M57" t="str">
        <f>_xlfn.XLOOKUP($B57,Num_Projet,Projets!D:D,"Inexistant",0)</f>
        <v>Industries Nova Tech</v>
      </c>
      <c r="N57" s="6">
        <f>_xlfn.XLOOKUP(E57,nom_commune,villes_clients!E:E)*2</f>
        <v>722.02003804675257</v>
      </c>
      <c r="O57" s="5">
        <f>IF(F57="train",G57,_xlfn.XLOOKUP(B57,Num_Projet,Projets!G:G,0,0)*N57)</f>
        <v>6079.4087203536565</v>
      </c>
      <c r="P57" s="5">
        <f>_xlfn.XLOOKUP(_xlfn.XLOOKUP(E57,nom_commune,villes_clients!D:D,0,0),Seuil_population,Nuitée,0,1) * J57</f>
        <v>500</v>
      </c>
      <c r="Q57" s="5">
        <f>_xlfn.XLOOKUP( _xlfn.CONCAT(A57,"-",_xlfn.XLOOKUP(A57,Matr,Consultants!E:E) ),Dernier_contrat,Contrats!D:D,0,0) * IF(J57&gt;0,J57,1)</f>
        <v>1320</v>
      </c>
      <c r="R57" s="44">
        <f t="shared" si="1"/>
        <v>7899.4087203536565</v>
      </c>
      <c r="S57" s="6">
        <f>( IF(F57="train", CO2_Train, _xlfn.XLOOKUP(I57,Immat_voitures,voitures_declarees!L:L,0,0)) * N57 ) / 1000</f>
        <v>148.01410779958428</v>
      </c>
    </row>
    <row r="58" spans="1:19" x14ac:dyDescent="0.2">
      <c r="A58">
        <v>3542</v>
      </c>
      <c r="B58">
        <v>4641</v>
      </c>
      <c r="C58" s="3">
        <v>46275</v>
      </c>
      <c r="D58" s="3">
        <v>46288</v>
      </c>
      <c r="E58" t="s">
        <v>93</v>
      </c>
      <c r="F58" t="s">
        <v>78</v>
      </c>
      <c r="G58" s="5">
        <v>201.05</v>
      </c>
      <c r="H58" t="s">
        <v>79</v>
      </c>
      <c r="J58">
        <f t="shared" si="0"/>
        <v>10</v>
      </c>
      <c r="K58" t="str">
        <f>_xlfn.XLOOKUP($B58,Num_Projet,Projets!B:B,"Inexistant",0)</f>
        <v>Arche</v>
      </c>
      <c r="L58" t="str">
        <f>_xlfn.XLOOKUP($B58,Num_Projet,Projets!C:C,"Inexistant",0)</f>
        <v>systèmes d'information</v>
      </c>
      <c r="M58" t="str">
        <f>_xlfn.XLOOKUP($B58,Num_Projet,Projets!D:D,"Inexistant",0)</f>
        <v>Banque Invest</v>
      </c>
      <c r="N58" s="6">
        <f>_xlfn.XLOOKUP(E58,nom_commune,villes_clients!E:E)*2</f>
        <v>1014.985612721831</v>
      </c>
      <c r="O58" s="5">
        <f>IF(F58="train",G58,_xlfn.XLOOKUP(B58,Num_Projet,Projets!G:G,0,0)*N58)</f>
        <v>201.05</v>
      </c>
      <c r="P58" s="5">
        <f>_xlfn.XLOOKUP(_xlfn.XLOOKUP(E58,nom_commune,villes_clients!D:D,0,0),Seuil_population,Nuitée,0,1) * J58</f>
        <v>500</v>
      </c>
      <c r="Q58" s="5">
        <f>_xlfn.XLOOKUP( _xlfn.CONCAT(A58,"-",_xlfn.XLOOKUP(A58,Matr,Consultants!E:E) ),Dernier_contrat,Contrats!D:D,0,0) * IF(J58&gt;0,J58,1)</f>
        <v>1470</v>
      </c>
      <c r="R58" s="44">
        <f t="shared" si="1"/>
        <v>2171.0500000000002</v>
      </c>
      <c r="S58" s="6">
        <f>( IF(F58="train", CO2_Train, _xlfn.XLOOKUP(I58,Immat_voitures,voitures_declarees!L:L,0,0)) * N58 ) / 1000</f>
        <v>2.0299712254436622</v>
      </c>
    </row>
    <row r="59" spans="1:19" x14ac:dyDescent="0.2">
      <c r="A59">
        <v>6423</v>
      </c>
      <c r="B59">
        <v>1309</v>
      </c>
      <c r="C59" s="3">
        <v>46277</v>
      </c>
      <c r="D59" s="3">
        <v>46280</v>
      </c>
      <c r="E59" t="s">
        <v>84</v>
      </c>
      <c r="F59" t="s">
        <v>78</v>
      </c>
      <c r="G59" s="5">
        <v>253.59</v>
      </c>
      <c r="H59" t="s">
        <v>85</v>
      </c>
      <c r="J59">
        <f t="shared" si="0"/>
        <v>2</v>
      </c>
      <c r="K59" t="str">
        <f>_xlfn.XLOOKUP($B59,Num_Projet,Projets!B:B,"Inexistant",0)</f>
        <v>Arc25</v>
      </c>
      <c r="L59" t="str">
        <f>_xlfn.XLOOKUP($B59,Num_Projet,Projets!C:C,"Inexistant",0)</f>
        <v>intelligence artificielle</v>
      </c>
      <c r="M59" t="str">
        <f>_xlfn.XLOOKUP($B59,Num_Projet,Projets!D:D,"Inexistant",0)</f>
        <v>Banque Invest</v>
      </c>
      <c r="N59" s="6">
        <f>_xlfn.XLOOKUP(E59,nom_commune,villes_clients!E:E)*2</f>
        <v>397.6709091109758</v>
      </c>
      <c r="O59" s="5">
        <f>IF(F59="train",G59,_xlfn.XLOOKUP(B59,Num_Projet,Projets!G:G,0,0)*N59)</f>
        <v>253.59</v>
      </c>
      <c r="P59" s="5">
        <f>_xlfn.XLOOKUP(_xlfn.XLOOKUP(E59,nom_commune,villes_clients!D:D,0,0),Seuil_population,Nuitée,0,1) * J59</f>
        <v>100</v>
      </c>
      <c r="Q59" s="5">
        <f>_xlfn.XLOOKUP( _xlfn.CONCAT(A59,"-",_xlfn.XLOOKUP(A59,Matr,Consultants!E:E) ),Dernier_contrat,Contrats!D:D,0,0) * IF(J59&gt;0,J59,1)</f>
        <v>418</v>
      </c>
      <c r="R59" s="44">
        <f t="shared" si="1"/>
        <v>683.1925</v>
      </c>
      <c r="S59" s="6">
        <f>( IF(F59="train", CO2_Train, _xlfn.XLOOKUP(I59,Immat_voitures,voitures_declarees!L:L,0,0)) * N59 ) / 1000</f>
        <v>0.7953418182219516</v>
      </c>
    </row>
    <row r="60" spans="1:19" x14ac:dyDescent="0.2">
      <c r="A60">
        <v>4359</v>
      </c>
      <c r="B60">
        <v>8140</v>
      </c>
      <c r="C60" s="3">
        <v>46277</v>
      </c>
      <c r="D60" s="3">
        <v>46287</v>
      </c>
      <c r="E60" t="s">
        <v>146</v>
      </c>
      <c r="F60" t="s">
        <v>82</v>
      </c>
      <c r="H60" t="s">
        <v>85</v>
      </c>
      <c r="I60" s="49" t="s">
        <v>90</v>
      </c>
      <c r="J60">
        <f t="shared" si="0"/>
        <v>7</v>
      </c>
      <c r="K60" t="str">
        <f>_xlfn.XLOOKUP($B60,Num_Projet,Projets!B:B,"Inexistant",0)</f>
        <v>Beta</v>
      </c>
      <c r="L60" t="str">
        <f>_xlfn.XLOOKUP($B60,Num_Projet,Projets!C:C,"Inexistant",0)</f>
        <v>systèmes d'information</v>
      </c>
      <c r="M60" t="str">
        <f>_xlfn.XLOOKUP($B60,Num_Projet,Projets!D:D,"Inexistant",0)</f>
        <v>Société AHT</v>
      </c>
      <c r="N60" s="6">
        <f>_xlfn.XLOOKUP(E60,nom_commune,villes_clients!E:E)*2</f>
        <v>1382.3441482382368</v>
      </c>
      <c r="O60" s="5">
        <f>IF(F60="train",G60,_xlfn.XLOOKUP(B60,Num_Projet,Projets!G:G,0,0)*N60)</f>
        <v>10865.225005152543</v>
      </c>
      <c r="P60" s="5">
        <f>_xlfn.XLOOKUP(_xlfn.XLOOKUP(E60,nom_commune,villes_clients!D:D,0,0),Seuil_population,Nuitée,0,1) * J60</f>
        <v>350</v>
      </c>
      <c r="Q60" s="5">
        <f>_xlfn.XLOOKUP( _xlfn.CONCAT(A60,"-",_xlfn.XLOOKUP(A60,Matr,Consultants!E:E) ),Dernier_contrat,Contrats!D:D,0,0) * IF(J60&gt;0,J60,1)</f>
        <v>714</v>
      </c>
      <c r="R60" s="44">
        <f t="shared" si="1"/>
        <v>9125.4187538644073</v>
      </c>
      <c r="S60" s="6">
        <f>( IF(F60="train", CO2_Train, _xlfn.XLOOKUP(I60,Immat_voitures,voitures_declarees!L:L,0,0)) * N60 ) / 1000</f>
        <v>409.17386787851808</v>
      </c>
    </row>
    <row r="61" spans="1:19" x14ac:dyDescent="0.2">
      <c r="A61">
        <v>7954</v>
      </c>
      <c r="B61">
        <v>7371</v>
      </c>
      <c r="C61" s="3">
        <v>46278</v>
      </c>
      <c r="D61" s="3">
        <v>46291</v>
      </c>
      <c r="E61" t="s">
        <v>139</v>
      </c>
      <c r="F61" t="s">
        <v>82</v>
      </c>
      <c r="H61" t="s">
        <v>85</v>
      </c>
      <c r="I61" s="49" t="s">
        <v>114</v>
      </c>
      <c r="J61">
        <f t="shared" si="0"/>
        <v>10</v>
      </c>
      <c r="K61" t="str">
        <f>_xlfn.XLOOKUP($B61,Num_Projet,Projets!B:B,"Inexistant",0)</f>
        <v>Infra2</v>
      </c>
      <c r="L61" t="str">
        <f>_xlfn.XLOOKUP($B61,Num_Projet,Projets!C:C,"Inexistant",0)</f>
        <v>cybersécurité</v>
      </c>
      <c r="M61" t="str">
        <f>_xlfn.XLOOKUP($B61,Num_Projet,Projets!D:D,"Inexistant",0)</f>
        <v>Société AHT</v>
      </c>
      <c r="N61" s="6">
        <f>_xlfn.XLOOKUP(E61,nom_commune,villes_clients!E:E)*2</f>
        <v>970.26035500521243</v>
      </c>
      <c r="O61" s="5">
        <f>IF(F61="train",G61,_xlfn.XLOOKUP(B61,Num_Projet,Projets!G:G,0,0)*N61)</f>
        <v>8742.0457985969642</v>
      </c>
      <c r="P61" s="5">
        <f>_xlfn.XLOOKUP(_xlfn.XLOOKUP(E61,nom_commune,villes_clients!D:D,0,0),Seuil_population,Nuitée,0,1) * J61</f>
        <v>500</v>
      </c>
      <c r="Q61" s="5">
        <f>_xlfn.XLOOKUP( _xlfn.CONCAT(A61,"-",_xlfn.XLOOKUP(A61,Matr,Consultants!E:E) ),Dernier_contrat,Contrats!D:D,0,0) * IF(J61&gt;0,J61,1)</f>
        <v>1150</v>
      </c>
      <c r="R61" s="44">
        <f t="shared" si="1"/>
        <v>8081.5343489477236</v>
      </c>
      <c r="S61" s="6">
        <f>( IF(F61="train", CO2_Train, _xlfn.XLOOKUP(I61,Immat_voitures,voitures_declarees!L:L,0,0)) * N61 ) / 1000</f>
        <v>194.05207100104249</v>
      </c>
    </row>
    <row r="62" spans="1:19" x14ac:dyDescent="0.2">
      <c r="A62">
        <v>4733</v>
      </c>
      <c r="B62">
        <v>4641</v>
      </c>
      <c r="C62" s="3">
        <v>46279</v>
      </c>
      <c r="D62" s="3">
        <v>46288</v>
      </c>
      <c r="E62" t="s">
        <v>129</v>
      </c>
      <c r="F62" t="s">
        <v>78</v>
      </c>
      <c r="G62" s="5">
        <v>221.35</v>
      </c>
      <c r="H62" t="s">
        <v>79</v>
      </c>
      <c r="J62">
        <f t="shared" si="0"/>
        <v>8</v>
      </c>
      <c r="K62" t="str">
        <f>_xlfn.XLOOKUP($B62,Num_Projet,Projets!B:B,"Inexistant",0)</f>
        <v>Arche</v>
      </c>
      <c r="L62" t="str">
        <f>_xlfn.XLOOKUP($B62,Num_Projet,Projets!C:C,"Inexistant",0)</f>
        <v>systèmes d'information</v>
      </c>
      <c r="M62" t="str">
        <f>_xlfn.XLOOKUP($B62,Num_Projet,Projets!D:D,"Inexistant",0)</f>
        <v>Banque Invest</v>
      </c>
      <c r="N62" s="6">
        <f>_xlfn.XLOOKUP(E62,nom_commune,villes_clients!E:E)*2</f>
        <v>565.65078678258772</v>
      </c>
      <c r="O62" s="5">
        <f>IF(F62="train",G62,_xlfn.XLOOKUP(B62,Num_Projet,Projets!G:G,0,0)*N62)</f>
        <v>221.35</v>
      </c>
      <c r="P62" s="5">
        <f>_xlfn.XLOOKUP(_xlfn.XLOOKUP(E62,nom_commune,villes_clients!D:D,0,0),Seuil_population,Nuitée,0,1) * J62</f>
        <v>600</v>
      </c>
      <c r="Q62" s="5">
        <f>_xlfn.XLOOKUP( _xlfn.CONCAT(A62,"-",_xlfn.XLOOKUP(A62,Matr,Consultants!E:E) ),Dernier_contrat,Contrats!D:D,0,0) * IF(J62&gt;0,J62,1)</f>
        <v>1552</v>
      </c>
      <c r="R62" s="44">
        <f t="shared" si="1"/>
        <v>2373.35</v>
      </c>
      <c r="S62" s="6">
        <f>( IF(F62="train", CO2_Train, _xlfn.XLOOKUP(I62,Immat_voitures,voitures_declarees!L:L,0,0)) * N62 ) / 1000</f>
        <v>1.1313015735651755</v>
      </c>
    </row>
    <row r="63" spans="1:19" x14ac:dyDescent="0.2">
      <c r="A63">
        <v>8195</v>
      </c>
      <c r="B63">
        <v>3987</v>
      </c>
      <c r="C63" s="3">
        <v>46282</v>
      </c>
      <c r="D63" s="3">
        <v>46296</v>
      </c>
      <c r="E63" t="s">
        <v>103</v>
      </c>
      <c r="F63" t="s">
        <v>82</v>
      </c>
      <c r="H63" t="s">
        <v>85</v>
      </c>
      <c r="I63" s="49" t="s">
        <v>88</v>
      </c>
      <c r="J63">
        <f t="shared" si="0"/>
        <v>11</v>
      </c>
      <c r="K63" t="str">
        <f>_xlfn.XLOOKUP($B63,Num_Projet,Projets!B:B,"Inexistant",0)</f>
        <v>Gamma</v>
      </c>
      <c r="L63" t="str">
        <f>_xlfn.XLOOKUP($B63,Num_Projet,Projets!C:C,"Inexistant",0)</f>
        <v>gouvernance</v>
      </c>
      <c r="M63" t="str">
        <f>_xlfn.XLOOKUP($B63,Num_Projet,Projets!D:D,"Inexistant",0)</f>
        <v>Cooperative Muvuca</v>
      </c>
      <c r="N63" s="6">
        <f>_xlfn.XLOOKUP(E63,nom_commune,villes_clients!E:E)*2</f>
        <v>20.896295688641462</v>
      </c>
      <c r="O63" s="5">
        <f>IF(F63="train",G63,_xlfn.XLOOKUP(B63,Num_Projet,Projets!G:G,0,0)*N63)</f>
        <v>205.41058661934557</v>
      </c>
      <c r="P63" s="5">
        <f>_xlfn.XLOOKUP(_xlfn.XLOOKUP(E63,nom_commune,villes_clients!D:D,0,0),Seuil_population,Nuitée,0,1) * J63</f>
        <v>550</v>
      </c>
      <c r="Q63" s="5">
        <f>_xlfn.XLOOKUP( _xlfn.CONCAT(A63,"-",_xlfn.XLOOKUP(A63,Matr,Consultants!E:E) ),Dernier_contrat,Contrats!D:D,0,0) * IF(J63&gt;0,J63,1)</f>
        <v>1397</v>
      </c>
      <c r="R63" s="44">
        <f t="shared" si="1"/>
        <v>1963.5579399645092</v>
      </c>
      <c r="S63" s="6">
        <f>( IF(F63="train", CO2_Train, _xlfn.XLOOKUP(I63,Immat_voitures,voitures_declarees!L:L,0,0)) * N63 ) / 1000</f>
        <v>2.2985925257505611</v>
      </c>
    </row>
    <row r="64" spans="1:19" x14ac:dyDescent="0.2">
      <c r="A64">
        <v>3137</v>
      </c>
      <c r="B64">
        <v>1309</v>
      </c>
      <c r="C64" s="3">
        <v>46283</v>
      </c>
      <c r="D64" s="3">
        <v>46290</v>
      </c>
      <c r="E64" t="s">
        <v>84</v>
      </c>
      <c r="F64" t="s">
        <v>82</v>
      </c>
      <c r="H64" t="s">
        <v>85</v>
      </c>
      <c r="I64" s="49" t="s">
        <v>86</v>
      </c>
      <c r="J64">
        <f t="shared" si="0"/>
        <v>6</v>
      </c>
      <c r="K64" t="str">
        <f>_xlfn.XLOOKUP($B64,Num_Projet,Projets!B:B,"Inexistant",0)</f>
        <v>Arc25</v>
      </c>
      <c r="L64" t="str">
        <f>_xlfn.XLOOKUP($B64,Num_Projet,Projets!C:C,"Inexistant",0)</f>
        <v>intelligence artificielle</v>
      </c>
      <c r="M64" t="str">
        <f>_xlfn.XLOOKUP($B64,Num_Projet,Projets!D:D,"Inexistant",0)</f>
        <v>Banque Invest</v>
      </c>
      <c r="N64" s="6">
        <f>_xlfn.XLOOKUP(E64,nom_commune,villes_clients!E:E)*2</f>
        <v>397.6709091109758</v>
      </c>
      <c r="O64" s="5">
        <f>IF(F64="train",G64,_xlfn.XLOOKUP(B64,Num_Projet,Projets!G:G,0,0)*N64)</f>
        <v>3602.8984365454407</v>
      </c>
      <c r="P64" s="5">
        <f>_xlfn.XLOOKUP(_xlfn.XLOOKUP(E64,nom_commune,villes_clients!D:D,0,0),Seuil_population,Nuitée,0,1) * J64</f>
        <v>300</v>
      </c>
      <c r="Q64" s="5">
        <f>_xlfn.XLOOKUP( _xlfn.CONCAT(A64,"-",_xlfn.XLOOKUP(A64,Matr,Consultants!E:E) ),Dernier_contrat,Contrats!D:D,0,0) * IF(J64&gt;0,J64,1)</f>
        <v>1176</v>
      </c>
      <c r="R64" s="44">
        <f t="shared" si="1"/>
        <v>4103.1738274090803</v>
      </c>
      <c r="S64" s="6">
        <f>( IF(F64="train", CO2_Train, _xlfn.XLOOKUP(I64,Immat_voitures,voitures_declarees!L:L,0,0)) * N64 ) / 1000</f>
        <v>94.248005459301254</v>
      </c>
    </row>
    <row r="65" spans="1:19" x14ac:dyDescent="0.2">
      <c r="A65">
        <v>5211</v>
      </c>
      <c r="B65">
        <v>2776</v>
      </c>
      <c r="C65" s="3">
        <v>46283</v>
      </c>
      <c r="D65" s="3">
        <v>46293</v>
      </c>
      <c r="E65" t="s">
        <v>153</v>
      </c>
      <c r="F65" t="s">
        <v>78</v>
      </c>
      <c r="G65" s="5">
        <v>92.34</v>
      </c>
      <c r="H65" t="s">
        <v>85</v>
      </c>
      <c r="J65">
        <f t="shared" si="0"/>
        <v>7</v>
      </c>
      <c r="K65" t="str">
        <f>_xlfn.XLOOKUP($B65,Num_Projet,Projets!B:B,"Inexistant",0)</f>
        <v>Destroyer</v>
      </c>
      <c r="L65" t="str">
        <f>_xlfn.XLOOKUP($B65,Num_Projet,Projets!C:C,"Inexistant",0)</f>
        <v>gouvernance</v>
      </c>
      <c r="M65" t="str">
        <f>_xlfn.XLOOKUP($B65,Num_Projet,Projets!D:D,"Inexistant",0)</f>
        <v>Groupe Oignon</v>
      </c>
      <c r="N65" s="6">
        <f>_xlfn.XLOOKUP(E65,nom_commune,villes_clients!E:E)*2</f>
        <v>1395.3168911564405</v>
      </c>
      <c r="O65" s="5">
        <f>IF(F65="train",G65,_xlfn.XLOOKUP(B65,Num_Projet,Projets!G:G,0,0)*N65)</f>
        <v>92.34</v>
      </c>
      <c r="P65" s="5">
        <f>_xlfn.XLOOKUP(_xlfn.XLOOKUP(E65,nom_commune,villes_clients!D:D,0,0),Seuil_population,Nuitée,0,1) * J65</f>
        <v>350</v>
      </c>
      <c r="Q65" s="5">
        <f>_xlfn.XLOOKUP( _xlfn.CONCAT(A65,"-",_xlfn.XLOOKUP(A65,Matr,Consultants!E:E) ),Dernier_contrat,Contrats!D:D,0,0) * IF(J65&gt;0,J65,1)</f>
        <v>1239</v>
      </c>
      <c r="R65" s="44">
        <f t="shared" si="1"/>
        <v>1570.7550000000001</v>
      </c>
      <c r="S65" s="6">
        <f>( IF(F65="train", CO2_Train, _xlfn.XLOOKUP(I65,Immat_voitures,voitures_declarees!L:L,0,0)) * N65 ) / 1000</f>
        <v>2.7906337823128813</v>
      </c>
    </row>
    <row r="66" spans="1:19" x14ac:dyDescent="0.2">
      <c r="A66">
        <v>8810</v>
      </c>
      <c r="B66">
        <v>7717</v>
      </c>
      <c r="C66" s="3">
        <v>46284</v>
      </c>
      <c r="D66" s="3">
        <v>46295</v>
      </c>
      <c r="E66" t="s">
        <v>136</v>
      </c>
      <c r="F66" t="s">
        <v>82</v>
      </c>
      <c r="H66" t="s">
        <v>85</v>
      </c>
      <c r="I66" s="49" t="s">
        <v>92</v>
      </c>
      <c r="J66">
        <f t="shared" ref="J66:J129" si="2">NETWORKDAYS(C66,D66,Jours_Fériés)</f>
        <v>8</v>
      </c>
      <c r="K66" t="str">
        <f>_xlfn.XLOOKUP($B66,Num_Projet,Projets!B:B,"Inexistant",0)</f>
        <v>Alpha</v>
      </c>
      <c r="L66" t="str">
        <f>_xlfn.XLOOKUP($B66,Num_Projet,Projets!C:C,"Inexistant",0)</f>
        <v>gouvernance</v>
      </c>
      <c r="M66" t="str">
        <f>_xlfn.XLOOKUP($B66,Num_Projet,Projets!D:D,"Inexistant",0)</f>
        <v>Industries Nova Tech</v>
      </c>
      <c r="N66" s="6">
        <f>_xlfn.XLOOKUP(E66,nom_commune,villes_clients!E:E)*2</f>
        <v>528.37078515457438</v>
      </c>
      <c r="O66" s="5">
        <f>IF(F66="train",G66,_xlfn.XLOOKUP(B66,Num_Projet,Projets!G:G,0,0)*N66)</f>
        <v>4448.8820110015158</v>
      </c>
      <c r="P66" s="5">
        <f>_xlfn.XLOOKUP(_xlfn.XLOOKUP(E66,nom_commune,villes_clients!D:D,0,0),Seuil_population,Nuitée,0,1) * J66</f>
        <v>800</v>
      </c>
      <c r="Q66" s="5">
        <f>_xlfn.XLOOKUP( _xlfn.CONCAT(A66,"-",_xlfn.XLOOKUP(A66,Matr,Consultants!E:E) ),Dernier_contrat,Contrats!D:D,0,0) * IF(J66&gt;0,J66,1)</f>
        <v>1496</v>
      </c>
      <c r="R66" s="44">
        <f t="shared" si="1"/>
        <v>5432.6615082511371</v>
      </c>
      <c r="S66" s="6">
        <f>( IF(F66="train", CO2_Train, _xlfn.XLOOKUP(I66,Immat_voitures,voitures_declarees!L:L,0,0)) * N66 ) / 1000</f>
        <v>81.897471698959023</v>
      </c>
    </row>
    <row r="67" spans="1:19" x14ac:dyDescent="0.2">
      <c r="A67">
        <v>7063</v>
      </c>
      <c r="B67">
        <v>4641</v>
      </c>
      <c r="C67" s="3">
        <v>46285</v>
      </c>
      <c r="D67" s="3">
        <v>46298</v>
      </c>
      <c r="E67" t="s">
        <v>165</v>
      </c>
      <c r="F67" t="s">
        <v>82</v>
      </c>
      <c r="H67" t="s">
        <v>79</v>
      </c>
      <c r="I67" s="49" t="s">
        <v>112</v>
      </c>
      <c r="J67">
        <f t="shared" si="2"/>
        <v>10</v>
      </c>
      <c r="K67" t="str">
        <f>_xlfn.XLOOKUP($B67,Num_Projet,Projets!B:B,"Inexistant",0)</f>
        <v>Arche</v>
      </c>
      <c r="L67" t="str">
        <f>_xlfn.XLOOKUP($B67,Num_Projet,Projets!C:C,"Inexistant",0)</f>
        <v>systèmes d'information</v>
      </c>
      <c r="M67" t="str">
        <f>_xlfn.XLOOKUP($B67,Num_Projet,Projets!D:D,"Inexistant",0)</f>
        <v>Banque Invest</v>
      </c>
      <c r="N67" s="6">
        <f>_xlfn.XLOOKUP(E67,nom_commune,villes_clients!E:E)*2</f>
        <v>800.90408538584848</v>
      </c>
      <c r="O67" s="5">
        <f>IF(F67="train",G67,_xlfn.XLOOKUP(B67,Num_Projet,Projets!G:G,0,0)*N67)</f>
        <v>9194.3789002295416</v>
      </c>
      <c r="P67" s="5">
        <f>_xlfn.XLOOKUP(_xlfn.XLOOKUP(E67,nom_commune,villes_clients!D:D,0,0),Seuil_population,Nuitée,0,1) * J67</f>
        <v>500</v>
      </c>
      <c r="Q67" s="5">
        <f>_xlfn.XLOOKUP( _xlfn.CONCAT(A67,"-",_xlfn.XLOOKUP(A67,Matr,Consultants!E:E) ),Dernier_contrat,Contrats!D:D,0,0) * IF(J67&gt;0,J67,1)</f>
        <v>1420</v>
      </c>
      <c r="R67" s="44">
        <f t="shared" ref="R67:R130" si="3">Q67 + SUM(O67:P67) * IF(H67 = "Oui",1,0.75)</f>
        <v>11114.378900229542</v>
      </c>
      <c r="S67" s="6">
        <f>( IF(F67="train", CO2_Train, _xlfn.XLOOKUP(I67,Immat_voitures,voitures_declarees!L:L,0,0)) * N67 ) / 1000</f>
        <v>82.493120794742396</v>
      </c>
    </row>
    <row r="68" spans="1:19" x14ac:dyDescent="0.2">
      <c r="A68">
        <v>5607</v>
      </c>
      <c r="B68">
        <v>6665</v>
      </c>
      <c r="C68" s="3">
        <v>46286</v>
      </c>
      <c r="D68" s="3">
        <v>46289</v>
      </c>
      <c r="E68" t="s">
        <v>162</v>
      </c>
      <c r="F68" t="s">
        <v>82</v>
      </c>
      <c r="H68" t="s">
        <v>79</v>
      </c>
      <c r="I68" s="49" t="s">
        <v>94</v>
      </c>
      <c r="J68">
        <f t="shared" si="2"/>
        <v>4</v>
      </c>
      <c r="K68" t="str">
        <f>_xlfn.XLOOKUP($B68,Num_Projet,Projets!B:B,"Inexistant",0)</f>
        <v>Orion</v>
      </c>
      <c r="L68" t="str">
        <f>_xlfn.XLOOKUP($B68,Num_Projet,Projets!C:C,"Inexistant",0)</f>
        <v>gouvernance</v>
      </c>
      <c r="M68" t="str">
        <f>_xlfn.XLOOKUP($B68,Num_Projet,Projets!D:D,"Inexistant",0)</f>
        <v>Industries Nova Tech</v>
      </c>
      <c r="N68" s="6">
        <f>_xlfn.XLOOKUP(E68,nom_commune,villes_clients!E:E)*2</f>
        <v>882.95296153169909</v>
      </c>
      <c r="O68" s="5">
        <f>IF(F68="train",G68,_xlfn.XLOOKUP(B68,Num_Projet,Projets!G:G,0,0)*N68)</f>
        <v>10498.310712611903</v>
      </c>
      <c r="P68" s="5">
        <f>_xlfn.XLOOKUP(_xlfn.XLOOKUP(E68,nom_commune,villes_clients!D:D,0,0),Seuil_population,Nuitée,0,1) * J68</f>
        <v>200</v>
      </c>
      <c r="Q68" s="5">
        <f>_xlfn.XLOOKUP( _xlfn.CONCAT(A68,"-",_xlfn.XLOOKUP(A68,Matr,Consultants!E:E) ),Dernier_contrat,Contrats!D:D,0,0) * IF(J68&gt;0,J68,1)</f>
        <v>416</v>
      </c>
      <c r="R68" s="44">
        <f t="shared" si="3"/>
        <v>11114.310712611903</v>
      </c>
      <c r="S68" s="6">
        <f>( IF(F68="train", CO2_Train, _xlfn.XLOOKUP(I68,Immat_voitures,voitures_declarees!L:L,0,0)) * N68 ) / 1000</f>
        <v>143.92133272966697</v>
      </c>
    </row>
    <row r="69" spans="1:19" x14ac:dyDescent="0.2">
      <c r="A69">
        <v>4641</v>
      </c>
      <c r="B69">
        <v>2764</v>
      </c>
      <c r="C69" s="3">
        <v>46287</v>
      </c>
      <c r="D69" s="3">
        <v>46293</v>
      </c>
      <c r="E69" t="s">
        <v>170</v>
      </c>
      <c r="F69" t="s">
        <v>78</v>
      </c>
      <c r="G69" s="5">
        <v>219.54</v>
      </c>
      <c r="H69" t="s">
        <v>85</v>
      </c>
      <c r="J69">
        <f t="shared" si="2"/>
        <v>5</v>
      </c>
      <c r="K69" t="str">
        <f>_xlfn.XLOOKUP($B69,Num_Projet,Projets!B:B,"Inexistant",0)</f>
        <v>MARCO</v>
      </c>
      <c r="L69" t="str">
        <f>_xlfn.XLOOKUP($B69,Num_Projet,Projets!C:C,"Inexistant",0)</f>
        <v>transformation digital</v>
      </c>
      <c r="M69" t="str">
        <f>_xlfn.XLOOKUP($B69,Num_Projet,Projets!D:D,"Inexistant",0)</f>
        <v>Banque Invest</v>
      </c>
      <c r="N69" s="6">
        <f>_xlfn.XLOOKUP(E69,nom_commune,villes_clients!E:E)*2</f>
        <v>1161.0252128104009</v>
      </c>
      <c r="O69" s="5">
        <f>IF(F69="train",G69,_xlfn.XLOOKUP(B69,Num_Projet,Projets!G:G,0,0)*N69)</f>
        <v>219.54</v>
      </c>
      <c r="P69" s="5">
        <f>_xlfn.XLOOKUP(_xlfn.XLOOKUP(E69,nom_commune,villes_clients!D:D,0,0),Seuil_population,Nuitée,0,1) * J69</f>
        <v>375</v>
      </c>
      <c r="Q69" s="5">
        <f>_xlfn.XLOOKUP( _xlfn.CONCAT(A69,"-",_xlfn.XLOOKUP(A69,Matr,Consultants!E:E) ),Dernier_contrat,Contrats!D:D,0,0) * IF(J69&gt;0,J69,1)</f>
        <v>685</v>
      </c>
      <c r="R69" s="44">
        <f t="shared" si="3"/>
        <v>1130.905</v>
      </c>
      <c r="S69" s="6">
        <f>( IF(F69="train", CO2_Train, _xlfn.XLOOKUP(I69,Immat_voitures,voitures_declarees!L:L,0,0)) * N69 ) / 1000</f>
        <v>2.3220504256208021</v>
      </c>
    </row>
    <row r="70" spans="1:19" x14ac:dyDescent="0.2">
      <c r="A70">
        <v>3582</v>
      </c>
      <c r="B70">
        <v>7717</v>
      </c>
      <c r="C70" s="3">
        <v>46288</v>
      </c>
      <c r="D70" s="3">
        <v>46288</v>
      </c>
      <c r="E70" t="s">
        <v>161</v>
      </c>
      <c r="F70" t="s">
        <v>82</v>
      </c>
      <c r="H70" t="s">
        <v>79</v>
      </c>
      <c r="I70" s="49" t="s">
        <v>102</v>
      </c>
      <c r="J70">
        <f t="shared" si="2"/>
        <v>1</v>
      </c>
      <c r="K70" t="str">
        <f>_xlfn.XLOOKUP($B70,Num_Projet,Projets!B:B,"Inexistant",0)</f>
        <v>Alpha</v>
      </c>
      <c r="L70" t="str">
        <f>_xlfn.XLOOKUP($B70,Num_Projet,Projets!C:C,"Inexistant",0)</f>
        <v>gouvernance</v>
      </c>
      <c r="M70" t="str">
        <f>_xlfn.XLOOKUP($B70,Num_Projet,Projets!D:D,"Inexistant",0)</f>
        <v>Industries Nova Tech</v>
      </c>
      <c r="N70" s="6">
        <f>_xlfn.XLOOKUP(E70,nom_commune,villes_clients!E:E)*2</f>
        <v>1179.012942276431</v>
      </c>
      <c r="O70" s="5">
        <f>IF(F70="train",G70,_xlfn.XLOOKUP(B70,Num_Projet,Projets!G:G,0,0)*N70)</f>
        <v>9927.2889739675484</v>
      </c>
      <c r="P70" s="5">
        <f>_xlfn.XLOOKUP(_xlfn.XLOOKUP(E70,nom_commune,villes_clients!D:D,0,0),Seuil_population,Nuitée,0,1) * J70</f>
        <v>150</v>
      </c>
      <c r="Q70" s="5">
        <f>_xlfn.XLOOKUP( _xlfn.CONCAT(A70,"-",_xlfn.XLOOKUP(A70,Matr,Consultants!E:E) ),Dernier_contrat,Contrats!D:D,0,0) * IF(J70&gt;0,J70,1)</f>
        <v>84</v>
      </c>
      <c r="R70" s="44">
        <f t="shared" si="3"/>
        <v>10161.288973967548</v>
      </c>
      <c r="S70" s="6">
        <f>( IF(F70="train", CO2_Train, _xlfn.XLOOKUP(I70,Immat_voitures,voitures_declarees!L:L,0,0)) * N70 ) / 1000</f>
        <v>241.69765316666835</v>
      </c>
    </row>
    <row r="71" spans="1:19" x14ac:dyDescent="0.2">
      <c r="A71">
        <v>3582</v>
      </c>
      <c r="B71">
        <v>4641</v>
      </c>
      <c r="C71" s="3">
        <v>46290</v>
      </c>
      <c r="D71" s="3">
        <v>46297</v>
      </c>
      <c r="E71" t="s">
        <v>128</v>
      </c>
      <c r="F71" t="s">
        <v>82</v>
      </c>
      <c r="H71" t="s">
        <v>79</v>
      </c>
      <c r="I71" s="49" t="s">
        <v>83</v>
      </c>
      <c r="J71">
        <f t="shared" si="2"/>
        <v>6</v>
      </c>
      <c r="K71" t="str">
        <f>_xlfn.XLOOKUP($B71,Num_Projet,Projets!B:B,"Inexistant",0)</f>
        <v>Arche</v>
      </c>
      <c r="L71" t="str">
        <f>_xlfn.XLOOKUP($B71,Num_Projet,Projets!C:C,"Inexistant",0)</f>
        <v>systèmes d'information</v>
      </c>
      <c r="M71" t="str">
        <f>_xlfn.XLOOKUP($B71,Num_Projet,Projets!D:D,"Inexistant",0)</f>
        <v>Banque Invest</v>
      </c>
      <c r="N71" s="6">
        <f>_xlfn.XLOOKUP(E71,nom_commune,villes_clients!E:E)*2</f>
        <v>764.75255111810895</v>
      </c>
      <c r="O71" s="5">
        <f>IF(F71="train",G71,_xlfn.XLOOKUP(B71,Num_Projet,Projets!G:G,0,0)*N71)</f>
        <v>8779.3592868358919</v>
      </c>
      <c r="P71" s="5">
        <f>_xlfn.XLOOKUP(_xlfn.XLOOKUP(E71,nom_commune,villes_clients!D:D,0,0),Seuil_population,Nuitée,0,1) * J71</f>
        <v>300</v>
      </c>
      <c r="Q71" s="5">
        <f>_xlfn.XLOOKUP( _xlfn.CONCAT(A71,"-",_xlfn.XLOOKUP(A71,Matr,Consultants!E:E) ),Dernier_contrat,Contrats!D:D,0,0) * IF(J71&gt;0,J71,1)</f>
        <v>504</v>
      </c>
      <c r="R71" s="44">
        <f t="shared" si="3"/>
        <v>9583.3592868358919</v>
      </c>
      <c r="S71" s="6">
        <f>( IF(F71="train", CO2_Train, _xlfn.XLOOKUP(I71,Immat_voitures,voitures_declarees!L:L,0,0)) * N71 ) / 1000</f>
        <v>136.89070665014151</v>
      </c>
    </row>
    <row r="72" spans="1:19" x14ac:dyDescent="0.2">
      <c r="A72">
        <v>1435</v>
      </c>
      <c r="B72">
        <v>4687</v>
      </c>
      <c r="C72" s="3">
        <v>46291</v>
      </c>
      <c r="D72" s="3">
        <v>46303</v>
      </c>
      <c r="E72" t="s">
        <v>95</v>
      </c>
      <c r="F72" t="s">
        <v>78</v>
      </c>
      <c r="G72" s="5">
        <v>265.79000000000002</v>
      </c>
      <c r="H72" t="s">
        <v>85</v>
      </c>
      <c r="J72">
        <f t="shared" si="2"/>
        <v>9</v>
      </c>
      <c r="K72" t="str">
        <f>_xlfn.XLOOKUP($B72,Num_Projet,Projets!B:B,"Inexistant",0)</f>
        <v>Mirage</v>
      </c>
      <c r="L72" t="str">
        <f>_xlfn.XLOOKUP($B72,Num_Projet,Projets!C:C,"Inexistant",0)</f>
        <v>cybersécurité</v>
      </c>
      <c r="M72" t="str">
        <f>_xlfn.XLOOKUP($B72,Num_Projet,Projets!D:D,"Inexistant",0)</f>
        <v>Banque Invest</v>
      </c>
      <c r="N72" s="6">
        <f>_xlfn.XLOOKUP(E72,nom_commune,villes_clients!E:E)*2</f>
        <v>406.67072652136744</v>
      </c>
      <c r="O72" s="5">
        <f>IF(F72="train",G72,_xlfn.XLOOKUP(B72,Num_Projet,Projets!G:G,0,0)*N72)</f>
        <v>265.79000000000002</v>
      </c>
      <c r="P72" s="5">
        <f>_xlfn.XLOOKUP(_xlfn.XLOOKUP(E72,nom_commune,villes_clients!D:D,0,0),Seuil_population,Nuitée,0,1) * J72</f>
        <v>900</v>
      </c>
      <c r="Q72" s="5">
        <f>_xlfn.XLOOKUP( _xlfn.CONCAT(A72,"-",_xlfn.XLOOKUP(A72,Matr,Consultants!E:E) ),Dernier_contrat,Contrats!D:D,0,0) * IF(J72&gt;0,J72,1)</f>
        <v>963</v>
      </c>
      <c r="R72" s="44">
        <f t="shared" si="3"/>
        <v>1837.3425</v>
      </c>
      <c r="S72" s="6">
        <f>( IF(F72="train", CO2_Train, _xlfn.XLOOKUP(I72,Immat_voitures,voitures_declarees!L:L,0,0)) * N72 ) / 1000</f>
        <v>0.81334145304273486</v>
      </c>
    </row>
    <row r="73" spans="1:19" x14ac:dyDescent="0.2">
      <c r="A73">
        <v>8988</v>
      </c>
      <c r="B73">
        <v>7371</v>
      </c>
      <c r="C73" s="3">
        <v>46292</v>
      </c>
      <c r="D73" s="3">
        <v>46306</v>
      </c>
      <c r="E73" t="s">
        <v>166</v>
      </c>
      <c r="F73" t="s">
        <v>78</v>
      </c>
      <c r="G73" s="5">
        <v>138.41999999999999</v>
      </c>
      <c r="H73" t="s">
        <v>85</v>
      </c>
      <c r="J73">
        <f t="shared" si="2"/>
        <v>10</v>
      </c>
      <c r="K73" t="str">
        <f>_xlfn.XLOOKUP($B73,Num_Projet,Projets!B:B,"Inexistant",0)</f>
        <v>Infra2</v>
      </c>
      <c r="L73" t="str">
        <f>_xlfn.XLOOKUP($B73,Num_Projet,Projets!C:C,"Inexistant",0)</f>
        <v>cybersécurité</v>
      </c>
      <c r="M73" t="str">
        <f>_xlfn.XLOOKUP($B73,Num_Projet,Projets!D:D,"Inexistant",0)</f>
        <v>Société AHT</v>
      </c>
      <c r="N73" s="6">
        <f>_xlfn.XLOOKUP(E73,nom_commune,villes_clients!E:E)*2</f>
        <v>529.19819952002911</v>
      </c>
      <c r="O73" s="5">
        <f>IF(F73="train",G73,_xlfn.XLOOKUP(B73,Num_Projet,Projets!G:G,0,0)*N73)</f>
        <v>138.41999999999999</v>
      </c>
      <c r="P73" s="5">
        <f>_xlfn.XLOOKUP(_xlfn.XLOOKUP(E73,nom_commune,villes_clients!D:D,0,0),Seuil_population,Nuitée,0,1) * J73</f>
        <v>1000</v>
      </c>
      <c r="Q73" s="5">
        <f>_xlfn.XLOOKUP( _xlfn.CONCAT(A73,"-",_xlfn.XLOOKUP(A73,Matr,Consultants!E:E) ),Dernier_contrat,Contrats!D:D,0,0) * IF(J73&gt;0,J73,1)</f>
        <v>1980</v>
      </c>
      <c r="R73" s="44">
        <f t="shared" si="3"/>
        <v>2833.8150000000001</v>
      </c>
      <c r="S73" s="6">
        <f>( IF(F73="train", CO2_Train, _xlfn.XLOOKUP(I73,Immat_voitures,voitures_declarees!L:L,0,0)) * N73 ) / 1000</f>
        <v>1.0583963990400582</v>
      </c>
    </row>
    <row r="74" spans="1:19" x14ac:dyDescent="0.2">
      <c r="A74">
        <v>3542</v>
      </c>
      <c r="B74">
        <v>5674</v>
      </c>
      <c r="C74" s="3">
        <v>46293</v>
      </c>
      <c r="D74" s="3">
        <v>46300</v>
      </c>
      <c r="E74" t="s">
        <v>104</v>
      </c>
      <c r="F74" t="s">
        <v>78</v>
      </c>
      <c r="G74" s="5">
        <v>266.74</v>
      </c>
      <c r="H74" t="s">
        <v>79</v>
      </c>
      <c r="J74">
        <f t="shared" si="2"/>
        <v>6</v>
      </c>
      <c r="K74" t="str">
        <f>_xlfn.XLOOKUP($B74,Num_Projet,Projets!B:B,"Inexistant",0)</f>
        <v>SuiviConso</v>
      </c>
      <c r="L74" t="str">
        <f>_xlfn.XLOOKUP($B74,Num_Projet,Projets!C:C,"Inexistant",0)</f>
        <v>gouvernance</v>
      </c>
      <c r="M74" t="str">
        <f>_xlfn.XLOOKUP($B74,Num_Projet,Projets!D:D,"Inexistant",0)</f>
        <v>Banque Invest</v>
      </c>
      <c r="N74" s="6">
        <f>_xlfn.XLOOKUP(E74,nom_commune,villes_clients!E:E)*2</f>
        <v>769.14012562021776</v>
      </c>
      <c r="O74" s="5">
        <f>IF(F74="train",G74,_xlfn.XLOOKUP(B74,Num_Projet,Projets!G:G,0,0)*N74)</f>
        <v>266.74</v>
      </c>
      <c r="P74" s="5">
        <f>_xlfn.XLOOKUP(_xlfn.XLOOKUP(E74,nom_commune,villes_clients!D:D,0,0),Seuil_population,Nuitée,0,1) * J74</f>
        <v>300</v>
      </c>
      <c r="Q74" s="5">
        <f>_xlfn.XLOOKUP( _xlfn.CONCAT(A74,"-",_xlfn.XLOOKUP(A74,Matr,Consultants!E:E) ),Dernier_contrat,Contrats!D:D,0,0) * IF(J74&gt;0,J74,1)</f>
        <v>882</v>
      </c>
      <c r="R74" s="44">
        <f t="shared" si="3"/>
        <v>1448.74</v>
      </c>
      <c r="S74" s="6">
        <f>( IF(F74="train", CO2_Train, _xlfn.XLOOKUP(I74,Immat_voitures,voitures_declarees!L:L,0,0)) * N74 ) / 1000</f>
        <v>1.5382802512404354</v>
      </c>
    </row>
    <row r="75" spans="1:19" x14ac:dyDescent="0.2">
      <c r="A75">
        <v>4751</v>
      </c>
      <c r="B75">
        <v>7371</v>
      </c>
      <c r="C75" s="3">
        <v>46293</v>
      </c>
      <c r="D75" s="3">
        <v>46296</v>
      </c>
      <c r="E75" t="s">
        <v>123</v>
      </c>
      <c r="F75" t="s">
        <v>78</v>
      </c>
      <c r="G75" s="5">
        <v>314.33999999999997</v>
      </c>
      <c r="H75" t="s">
        <v>85</v>
      </c>
      <c r="J75">
        <f t="shared" si="2"/>
        <v>4</v>
      </c>
      <c r="K75" t="str">
        <f>_xlfn.XLOOKUP($B75,Num_Projet,Projets!B:B,"Inexistant",0)</f>
        <v>Infra2</v>
      </c>
      <c r="L75" t="str">
        <f>_xlfn.XLOOKUP($B75,Num_Projet,Projets!C:C,"Inexistant",0)</f>
        <v>cybersécurité</v>
      </c>
      <c r="M75" t="str">
        <f>_xlfn.XLOOKUP($B75,Num_Projet,Projets!D:D,"Inexistant",0)</f>
        <v>Société AHT</v>
      </c>
      <c r="N75" s="6">
        <f>_xlfn.XLOOKUP(E75,nom_commune,villes_clients!E:E)*2</f>
        <v>1007.2300393951127</v>
      </c>
      <c r="O75" s="5">
        <f>IF(F75="train",G75,_xlfn.XLOOKUP(B75,Num_Projet,Projets!G:G,0,0)*N75)</f>
        <v>314.33999999999997</v>
      </c>
      <c r="P75" s="5">
        <f>_xlfn.XLOOKUP(_xlfn.XLOOKUP(E75,nom_commune,villes_clients!D:D,0,0),Seuil_population,Nuitée,0,1) * J75</f>
        <v>200</v>
      </c>
      <c r="Q75" s="5">
        <f>_xlfn.XLOOKUP( _xlfn.CONCAT(A75,"-",_xlfn.XLOOKUP(A75,Matr,Consultants!E:E) ),Dernier_contrat,Contrats!D:D,0,0) * IF(J75&gt;0,J75,1)</f>
        <v>584</v>
      </c>
      <c r="R75" s="44">
        <f t="shared" si="3"/>
        <v>969.75499999999988</v>
      </c>
      <c r="S75" s="6">
        <f>( IF(F75="train", CO2_Train, _xlfn.XLOOKUP(I75,Immat_voitures,voitures_declarees!L:L,0,0)) * N75 ) / 1000</f>
        <v>2.0144600787902256</v>
      </c>
    </row>
    <row r="76" spans="1:19" x14ac:dyDescent="0.2">
      <c r="A76">
        <v>5959</v>
      </c>
      <c r="B76">
        <v>9437</v>
      </c>
      <c r="C76" s="3">
        <v>46293</v>
      </c>
      <c r="D76" s="3">
        <v>46301</v>
      </c>
      <c r="E76" t="s">
        <v>129</v>
      </c>
      <c r="F76" t="s">
        <v>82</v>
      </c>
      <c r="H76" t="s">
        <v>85</v>
      </c>
      <c r="I76" s="49" t="s">
        <v>114</v>
      </c>
      <c r="J76">
        <f t="shared" si="2"/>
        <v>7</v>
      </c>
      <c r="K76" t="str">
        <f>_xlfn.XLOOKUP($B76,Num_Projet,Projets!B:B,"Inexistant",0)</f>
        <v>E30</v>
      </c>
      <c r="L76" t="str">
        <f>_xlfn.XLOOKUP($B76,Num_Projet,Projets!C:C,"Inexistant",0)</f>
        <v>gouvernance</v>
      </c>
      <c r="M76" t="str">
        <f>_xlfn.XLOOKUP($B76,Num_Projet,Projets!D:D,"Inexistant",0)</f>
        <v>Cooperative Muvuca</v>
      </c>
      <c r="N76" s="6">
        <f>_xlfn.XLOOKUP(E76,nom_commune,villes_clients!E:E)*2</f>
        <v>565.65078678258772</v>
      </c>
      <c r="O76" s="5">
        <f>IF(F76="train",G76,_xlfn.XLOOKUP(B76,Num_Projet,Projets!G:G,0,0)*N76)</f>
        <v>3919.9599524033329</v>
      </c>
      <c r="P76" s="5">
        <f>_xlfn.XLOOKUP(_xlfn.XLOOKUP(E76,nom_commune,villes_clients!D:D,0,0),Seuil_population,Nuitée,0,1) * J76</f>
        <v>525</v>
      </c>
      <c r="Q76" s="5">
        <f>_xlfn.XLOOKUP( _xlfn.CONCAT(A76,"-",_xlfn.XLOOKUP(A76,Matr,Consultants!E:E) ),Dernier_contrat,Contrats!D:D,0,0) * IF(J76&gt;0,J76,1)</f>
        <v>1386</v>
      </c>
      <c r="R76" s="44">
        <f t="shared" si="3"/>
        <v>4719.7199643024996</v>
      </c>
      <c r="S76" s="6">
        <f>( IF(F76="train", CO2_Train, _xlfn.XLOOKUP(I76,Immat_voitures,voitures_declarees!L:L,0,0)) * N76 ) / 1000</f>
        <v>113.13015735651754</v>
      </c>
    </row>
    <row r="77" spans="1:19" x14ac:dyDescent="0.2">
      <c r="A77">
        <v>4744</v>
      </c>
      <c r="B77">
        <v>8140</v>
      </c>
      <c r="C77" s="3">
        <v>46294</v>
      </c>
      <c r="D77" s="3">
        <v>46298</v>
      </c>
      <c r="E77" t="s">
        <v>154</v>
      </c>
      <c r="F77" t="s">
        <v>82</v>
      </c>
      <c r="H77" t="s">
        <v>79</v>
      </c>
      <c r="I77" s="49" t="s">
        <v>86</v>
      </c>
      <c r="J77">
        <f t="shared" si="2"/>
        <v>4</v>
      </c>
      <c r="K77" t="str">
        <f>_xlfn.XLOOKUP($B77,Num_Projet,Projets!B:B,"Inexistant",0)</f>
        <v>Beta</v>
      </c>
      <c r="L77" t="str">
        <f>_xlfn.XLOOKUP($B77,Num_Projet,Projets!C:C,"Inexistant",0)</f>
        <v>systèmes d'information</v>
      </c>
      <c r="M77" t="str">
        <f>_xlfn.XLOOKUP($B77,Num_Projet,Projets!D:D,"Inexistant",0)</f>
        <v>Société AHT</v>
      </c>
      <c r="N77" s="6">
        <f>_xlfn.XLOOKUP(E77,nom_commune,villes_clients!E:E)*2</f>
        <v>57.50657668707499</v>
      </c>
      <c r="O77" s="5">
        <f>IF(F77="train",G77,_xlfn.XLOOKUP(B77,Num_Projet,Projets!G:G,0,0)*N77)</f>
        <v>452.00169276040941</v>
      </c>
      <c r="P77" s="5">
        <f>_xlfn.XLOOKUP(_xlfn.XLOOKUP(E77,nom_commune,villes_clients!D:D,0,0),Seuil_population,Nuitée,0,1) * J77</f>
        <v>200</v>
      </c>
      <c r="Q77" s="5">
        <f>_xlfn.XLOOKUP( _xlfn.CONCAT(A77,"-",_xlfn.XLOOKUP(A77,Matr,Consultants!E:E) ),Dernier_contrat,Contrats!D:D,0,0) * IF(J77&gt;0,J77,1)</f>
        <v>508</v>
      </c>
      <c r="R77" s="44">
        <f t="shared" si="3"/>
        <v>1160.0016927604095</v>
      </c>
      <c r="S77" s="6">
        <f>( IF(F77="train", CO2_Train, _xlfn.XLOOKUP(I77,Immat_voitures,voitures_declarees!L:L,0,0)) * N77 ) / 1000</f>
        <v>13.629058674836774</v>
      </c>
    </row>
    <row r="78" spans="1:19" x14ac:dyDescent="0.2">
      <c r="A78">
        <v>7175</v>
      </c>
      <c r="B78">
        <v>4641</v>
      </c>
      <c r="C78" s="3">
        <v>46296</v>
      </c>
      <c r="D78" s="3">
        <v>46301</v>
      </c>
      <c r="E78" t="s">
        <v>169</v>
      </c>
      <c r="F78" t="s">
        <v>82</v>
      </c>
      <c r="H78" t="s">
        <v>85</v>
      </c>
      <c r="I78" s="49" t="s">
        <v>86</v>
      </c>
      <c r="J78">
        <f t="shared" si="2"/>
        <v>4</v>
      </c>
      <c r="K78" t="str">
        <f>_xlfn.XLOOKUP($B78,Num_Projet,Projets!B:B,"Inexistant",0)</f>
        <v>Arche</v>
      </c>
      <c r="L78" t="str">
        <f>_xlfn.XLOOKUP($B78,Num_Projet,Projets!C:C,"Inexistant",0)</f>
        <v>systèmes d'information</v>
      </c>
      <c r="M78" t="str">
        <f>_xlfn.XLOOKUP($B78,Num_Projet,Projets!D:D,"Inexistant",0)</f>
        <v>Banque Invest</v>
      </c>
      <c r="N78" s="6">
        <f>_xlfn.XLOOKUP(E78,nom_commune,villes_clients!E:E)*2</f>
        <v>371.16328358772228</v>
      </c>
      <c r="O78" s="5">
        <f>IF(F78="train",G78,_xlfn.XLOOKUP(B78,Num_Projet,Projets!G:G,0,0)*N78)</f>
        <v>4260.9544955870515</v>
      </c>
      <c r="P78" s="5">
        <f>_xlfn.XLOOKUP(_xlfn.XLOOKUP(E78,nom_commune,villes_clients!D:D,0,0),Seuil_population,Nuitée,0,1) * J78</f>
        <v>300</v>
      </c>
      <c r="Q78" s="5">
        <f>_xlfn.XLOOKUP( _xlfn.CONCAT(A78,"-",_xlfn.XLOOKUP(A78,Matr,Consultants!E:E) ),Dernier_contrat,Contrats!D:D,0,0) * IF(J78&gt;0,J78,1)</f>
        <v>528</v>
      </c>
      <c r="R78" s="44">
        <f t="shared" si="3"/>
        <v>3948.7158716902886</v>
      </c>
      <c r="S78" s="6">
        <f>( IF(F78="train", CO2_Train, _xlfn.XLOOKUP(I78,Immat_voitures,voitures_declarees!L:L,0,0)) * N78 ) / 1000</f>
        <v>87.965698210290185</v>
      </c>
    </row>
    <row r="79" spans="1:19" x14ac:dyDescent="0.2">
      <c r="A79">
        <v>5607</v>
      </c>
      <c r="B79">
        <v>2776</v>
      </c>
      <c r="C79" s="3">
        <v>46296</v>
      </c>
      <c r="D79" s="3">
        <v>46305</v>
      </c>
      <c r="E79" t="s">
        <v>167</v>
      </c>
      <c r="F79" t="s">
        <v>82</v>
      </c>
      <c r="H79" t="s">
        <v>79</v>
      </c>
      <c r="I79" s="49" t="s">
        <v>107</v>
      </c>
      <c r="J79">
        <f t="shared" si="2"/>
        <v>7</v>
      </c>
      <c r="K79" t="str">
        <f>_xlfn.XLOOKUP($B79,Num_Projet,Projets!B:B,"Inexistant",0)</f>
        <v>Destroyer</v>
      </c>
      <c r="L79" t="str">
        <f>_xlfn.XLOOKUP($B79,Num_Projet,Projets!C:C,"Inexistant",0)</f>
        <v>gouvernance</v>
      </c>
      <c r="M79" t="str">
        <f>_xlfn.XLOOKUP($B79,Num_Projet,Projets!D:D,"Inexistant",0)</f>
        <v>Groupe Oignon</v>
      </c>
      <c r="N79" s="6">
        <f>_xlfn.XLOOKUP(E79,nom_commune,villes_clients!E:E)*2</f>
        <v>14.255627214604903</v>
      </c>
      <c r="O79" s="5">
        <f>IF(F79="train",G79,_xlfn.XLOOKUP(B79,Num_Projet,Projets!G:G,0,0)*N79)</f>
        <v>146.5478477661384</v>
      </c>
      <c r="P79" s="5">
        <f>_xlfn.XLOOKUP(_xlfn.XLOOKUP(E79,nom_commune,villes_clients!D:D,0,0),Seuil_population,Nuitée,0,1) * J79</f>
        <v>350</v>
      </c>
      <c r="Q79" s="5">
        <f>_xlfn.XLOOKUP( _xlfn.CONCAT(A79,"-",_xlfn.XLOOKUP(A79,Matr,Consultants!E:E) ),Dernier_contrat,Contrats!D:D,0,0) * IF(J79&gt;0,J79,1)</f>
        <v>728</v>
      </c>
      <c r="R79" s="44">
        <f t="shared" si="3"/>
        <v>1224.5478477661384</v>
      </c>
      <c r="S79" s="6">
        <f>( IF(F79="train", CO2_Train, _xlfn.XLOOKUP(I79,Immat_voitures,voitures_declarees!L:L,0,0)) * N79 ) / 1000</f>
        <v>3.0507042239254494</v>
      </c>
    </row>
    <row r="80" spans="1:19" x14ac:dyDescent="0.2">
      <c r="A80">
        <v>3772</v>
      </c>
      <c r="B80">
        <v>8140</v>
      </c>
      <c r="C80" s="3">
        <v>46297</v>
      </c>
      <c r="D80" s="3">
        <v>46310</v>
      </c>
      <c r="E80" t="s">
        <v>134</v>
      </c>
      <c r="F80" t="s">
        <v>82</v>
      </c>
      <c r="H80" t="s">
        <v>85</v>
      </c>
      <c r="I80" s="49" t="s">
        <v>107</v>
      </c>
      <c r="J80">
        <f t="shared" si="2"/>
        <v>10</v>
      </c>
      <c r="K80" t="str">
        <f>_xlfn.XLOOKUP($B80,Num_Projet,Projets!B:B,"Inexistant",0)</f>
        <v>Beta</v>
      </c>
      <c r="L80" t="str">
        <f>_xlfn.XLOOKUP($B80,Num_Projet,Projets!C:C,"Inexistant",0)</f>
        <v>systèmes d'information</v>
      </c>
      <c r="M80" t="str">
        <f>_xlfn.XLOOKUP($B80,Num_Projet,Projets!D:D,"Inexistant",0)</f>
        <v>Société AHT</v>
      </c>
      <c r="N80" s="6">
        <f>_xlfn.XLOOKUP(E80,nom_commune,villes_clients!E:E)*2</f>
        <v>994.80960070076435</v>
      </c>
      <c r="O80" s="5">
        <f>IF(F80="train",G80,_xlfn.XLOOKUP(B80,Num_Projet,Projets!G:G,0,0)*N80)</f>
        <v>7819.2034615080083</v>
      </c>
      <c r="P80" s="5">
        <f>_xlfn.XLOOKUP(_xlfn.XLOOKUP(E80,nom_commune,villes_clients!D:D,0,0),Seuil_population,Nuitée,0,1) * J80</f>
        <v>1000</v>
      </c>
      <c r="Q80" s="5">
        <f>_xlfn.XLOOKUP( _xlfn.CONCAT(A80,"-",_xlfn.XLOOKUP(A80,Matr,Consultants!E:E) ),Dernier_contrat,Contrats!D:D,0,0) * IF(J80&gt;0,J80,1)</f>
        <v>2050</v>
      </c>
      <c r="R80" s="44">
        <f t="shared" si="3"/>
        <v>8664.4025961310072</v>
      </c>
      <c r="S80" s="6">
        <f>( IF(F80="train", CO2_Train, _xlfn.XLOOKUP(I80,Immat_voitures,voitures_declarees!L:L,0,0)) * N80 ) / 1000</f>
        <v>212.88925454996357</v>
      </c>
    </row>
    <row r="81" spans="1:19" x14ac:dyDescent="0.2">
      <c r="A81">
        <v>4641</v>
      </c>
      <c r="B81">
        <v>4125</v>
      </c>
      <c r="C81" s="3">
        <v>46300</v>
      </c>
      <c r="D81" s="3">
        <v>46306</v>
      </c>
      <c r="E81" t="s">
        <v>172</v>
      </c>
      <c r="F81" t="s">
        <v>82</v>
      </c>
      <c r="H81" t="s">
        <v>79</v>
      </c>
      <c r="I81" s="49" t="s">
        <v>86</v>
      </c>
      <c r="J81">
        <f t="shared" si="2"/>
        <v>5</v>
      </c>
      <c r="K81" t="str">
        <f>_xlfn.XLOOKUP($B81,Num_Projet,Projets!B:B,"Inexistant",0)</f>
        <v>ADV</v>
      </c>
      <c r="L81" t="str">
        <f>_xlfn.XLOOKUP($B81,Num_Projet,Projets!C:C,"Inexistant",0)</f>
        <v>gouvernance</v>
      </c>
      <c r="M81" t="str">
        <f>_xlfn.XLOOKUP($B81,Num_Projet,Projets!D:D,"Inexistant",0)</f>
        <v>Industries Nova Tech</v>
      </c>
      <c r="N81" s="6">
        <f>_xlfn.XLOOKUP(E81,nom_commune,villes_clients!E:E)*2</f>
        <v>34.739702061881246</v>
      </c>
      <c r="O81" s="5">
        <f>IF(F81="train",G81,_xlfn.XLOOKUP(B81,Num_Projet,Projets!G:G,0,0)*N81)</f>
        <v>280.34939563938167</v>
      </c>
      <c r="P81" s="5">
        <f>_xlfn.XLOOKUP(_xlfn.XLOOKUP(E81,nom_commune,villes_clients!D:D,0,0),Seuil_population,Nuitée,0,1) * J81</f>
        <v>375</v>
      </c>
      <c r="Q81" s="5">
        <f>_xlfn.XLOOKUP( _xlfn.CONCAT(A81,"-",_xlfn.XLOOKUP(A81,Matr,Consultants!E:E) ),Dernier_contrat,Contrats!D:D,0,0) * IF(J81&gt;0,J81,1)</f>
        <v>685</v>
      </c>
      <c r="R81" s="44">
        <f t="shared" si="3"/>
        <v>1340.3493956393818</v>
      </c>
      <c r="S81" s="6">
        <f>( IF(F81="train", CO2_Train, _xlfn.XLOOKUP(I81,Immat_voitures,voitures_declarees!L:L,0,0)) * N81 ) / 1000</f>
        <v>8.2333093886658553</v>
      </c>
    </row>
    <row r="82" spans="1:19" x14ac:dyDescent="0.2">
      <c r="A82">
        <v>7954</v>
      </c>
      <c r="B82">
        <v>4687</v>
      </c>
      <c r="C82" s="3">
        <v>46301</v>
      </c>
      <c r="D82" s="3">
        <v>46304</v>
      </c>
      <c r="E82" t="s">
        <v>140</v>
      </c>
      <c r="F82" t="s">
        <v>78</v>
      </c>
      <c r="G82" s="5">
        <v>83.17</v>
      </c>
      <c r="H82" t="s">
        <v>85</v>
      </c>
      <c r="J82">
        <f t="shared" si="2"/>
        <v>4</v>
      </c>
      <c r="K82" t="str">
        <f>_xlfn.XLOOKUP($B82,Num_Projet,Projets!B:B,"Inexistant",0)</f>
        <v>Mirage</v>
      </c>
      <c r="L82" t="str">
        <f>_xlfn.XLOOKUP($B82,Num_Projet,Projets!C:C,"Inexistant",0)</f>
        <v>cybersécurité</v>
      </c>
      <c r="M82" t="str">
        <f>_xlfn.XLOOKUP($B82,Num_Projet,Projets!D:D,"Inexistant",0)</f>
        <v>Banque Invest</v>
      </c>
      <c r="N82" s="6">
        <f>_xlfn.XLOOKUP(E82,nom_commune,villes_clients!E:E)*2</f>
        <v>1233.7826267272476</v>
      </c>
      <c r="O82" s="5">
        <f>IF(F82="train",G82,_xlfn.XLOOKUP(B82,Num_Projet,Projets!G:G,0,0)*N82)</f>
        <v>83.17</v>
      </c>
      <c r="P82" s="5">
        <f>_xlfn.XLOOKUP(_xlfn.XLOOKUP(E82,nom_commune,villes_clients!D:D,0,0),Seuil_population,Nuitée,0,1) * J82</f>
        <v>200</v>
      </c>
      <c r="Q82" s="5">
        <f>_xlfn.XLOOKUP( _xlfn.CONCAT(A82,"-",_xlfn.XLOOKUP(A82,Matr,Consultants!E:E) ),Dernier_contrat,Contrats!D:D,0,0) * IF(J82&gt;0,J82,1)</f>
        <v>460</v>
      </c>
      <c r="R82" s="44">
        <f t="shared" si="3"/>
        <v>672.37750000000005</v>
      </c>
      <c r="S82" s="6">
        <f>( IF(F82="train", CO2_Train, _xlfn.XLOOKUP(I82,Immat_voitures,voitures_declarees!L:L,0,0)) * N82 ) / 1000</f>
        <v>2.4675652534544952</v>
      </c>
    </row>
    <row r="83" spans="1:19" x14ac:dyDescent="0.2">
      <c r="A83">
        <v>8810</v>
      </c>
      <c r="B83">
        <v>7717</v>
      </c>
      <c r="C83" s="3">
        <v>46302</v>
      </c>
      <c r="D83" s="3">
        <v>46307</v>
      </c>
      <c r="E83" t="s">
        <v>106</v>
      </c>
      <c r="F83" t="s">
        <v>82</v>
      </c>
      <c r="H83" t="s">
        <v>79</v>
      </c>
      <c r="I83" s="49" t="s">
        <v>86</v>
      </c>
      <c r="J83">
        <f t="shared" si="2"/>
        <v>4</v>
      </c>
      <c r="K83" t="str">
        <f>_xlfn.XLOOKUP($B83,Num_Projet,Projets!B:B,"Inexistant",0)</f>
        <v>Alpha</v>
      </c>
      <c r="L83" t="str">
        <f>_xlfn.XLOOKUP($B83,Num_Projet,Projets!C:C,"Inexistant",0)</f>
        <v>gouvernance</v>
      </c>
      <c r="M83" t="str">
        <f>_xlfn.XLOOKUP($B83,Num_Projet,Projets!D:D,"Inexistant",0)</f>
        <v>Industries Nova Tech</v>
      </c>
      <c r="N83" s="6">
        <f>_xlfn.XLOOKUP(E83,nom_commune,villes_clients!E:E)*2</f>
        <v>13.088746396149698</v>
      </c>
      <c r="O83" s="5">
        <f>IF(F83="train",G83,_xlfn.XLOOKUP(B83,Num_Projet,Projets!G:G,0,0)*N83)</f>
        <v>110.20724465558045</v>
      </c>
      <c r="P83" s="5">
        <f>_xlfn.XLOOKUP(_xlfn.XLOOKUP(E83,nom_commune,villes_clients!D:D,0,0),Seuil_population,Nuitée,0,1) * J83</f>
        <v>200</v>
      </c>
      <c r="Q83" s="5">
        <f>_xlfn.XLOOKUP( _xlfn.CONCAT(A83,"-",_xlfn.XLOOKUP(A83,Matr,Consultants!E:E) ),Dernier_contrat,Contrats!D:D,0,0) * IF(J83&gt;0,J83,1)</f>
        <v>748</v>
      </c>
      <c r="R83" s="44">
        <f t="shared" si="3"/>
        <v>1058.2072446555803</v>
      </c>
      <c r="S83" s="6">
        <f>( IF(F83="train", CO2_Train, _xlfn.XLOOKUP(I83,Immat_voitures,voitures_declarees!L:L,0,0)) * N83 ) / 1000</f>
        <v>3.1020328958874783</v>
      </c>
    </row>
    <row r="84" spans="1:19" x14ac:dyDescent="0.2">
      <c r="A84">
        <v>3137</v>
      </c>
      <c r="B84">
        <v>6665</v>
      </c>
      <c r="C84" s="3">
        <v>46303</v>
      </c>
      <c r="D84" s="3">
        <v>46317</v>
      </c>
      <c r="E84" t="s">
        <v>87</v>
      </c>
      <c r="F84" t="s">
        <v>82</v>
      </c>
      <c r="H84" t="s">
        <v>85</v>
      </c>
      <c r="I84" s="49" t="s">
        <v>88</v>
      </c>
      <c r="J84">
        <f t="shared" si="2"/>
        <v>11</v>
      </c>
      <c r="K84" t="str">
        <f>_xlfn.XLOOKUP($B84,Num_Projet,Projets!B:B,"Inexistant",0)</f>
        <v>Orion</v>
      </c>
      <c r="L84" t="str">
        <f>_xlfn.XLOOKUP($B84,Num_Projet,Projets!C:C,"Inexistant",0)</f>
        <v>gouvernance</v>
      </c>
      <c r="M84" t="str">
        <f>_xlfn.XLOOKUP($B84,Num_Projet,Projets!D:D,"Inexistant",0)</f>
        <v>Industries Nova Tech</v>
      </c>
      <c r="N84" s="6">
        <f>_xlfn.XLOOKUP(E84,nom_commune,villes_clients!E:E)*2</f>
        <v>258.21049310952969</v>
      </c>
      <c r="O84" s="5">
        <f>IF(F84="train",G84,_xlfn.XLOOKUP(B84,Num_Projet,Projets!G:G,0,0)*N84)</f>
        <v>3070.1227630723083</v>
      </c>
      <c r="P84" s="5">
        <f>_xlfn.XLOOKUP(_xlfn.XLOOKUP(E84,nom_commune,villes_clients!D:D,0,0),Seuil_population,Nuitée,0,1) * J84</f>
        <v>550</v>
      </c>
      <c r="Q84" s="5">
        <f>_xlfn.XLOOKUP( _xlfn.CONCAT(A84,"-",_xlfn.XLOOKUP(A84,Matr,Consultants!E:E) ),Dernier_contrat,Contrats!D:D,0,0) * IF(J84&gt;0,J84,1)</f>
        <v>2156</v>
      </c>
      <c r="R84" s="44">
        <f t="shared" si="3"/>
        <v>4871.0920723042309</v>
      </c>
      <c r="S84" s="6">
        <f>( IF(F84="train", CO2_Train, _xlfn.XLOOKUP(I84,Immat_voitures,voitures_declarees!L:L,0,0)) * N84 ) / 1000</f>
        <v>28.403154242048267</v>
      </c>
    </row>
    <row r="85" spans="1:19" x14ac:dyDescent="0.2">
      <c r="A85">
        <v>8195</v>
      </c>
      <c r="B85">
        <v>4687</v>
      </c>
      <c r="C85" s="3">
        <v>46306</v>
      </c>
      <c r="D85" s="3">
        <v>46310</v>
      </c>
      <c r="E85" t="s">
        <v>116</v>
      </c>
      <c r="F85" t="s">
        <v>78</v>
      </c>
      <c r="G85" s="5">
        <v>151.47</v>
      </c>
      <c r="H85" t="s">
        <v>85</v>
      </c>
      <c r="J85">
        <f t="shared" si="2"/>
        <v>4</v>
      </c>
      <c r="K85" t="str">
        <f>_xlfn.XLOOKUP($B85,Num_Projet,Projets!B:B,"Inexistant",0)</f>
        <v>Mirage</v>
      </c>
      <c r="L85" t="str">
        <f>_xlfn.XLOOKUP($B85,Num_Projet,Projets!C:C,"Inexistant",0)</f>
        <v>cybersécurité</v>
      </c>
      <c r="M85" t="str">
        <f>_xlfn.XLOOKUP($B85,Num_Projet,Projets!D:D,"Inexistant",0)</f>
        <v>Banque Invest</v>
      </c>
      <c r="N85" s="6">
        <f>_xlfn.XLOOKUP(E85,nom_commune,villes_clients!E:E)*2</f>
        <v>430.97127785734853</v>
      </c>
      <c r="O85" s="5">
        <f>IF(F85="train",G85,_xlfn.XLOOKUP(B85,Num_Projet,Projets!G:G,0,0)*N85)</f>
        <v>151.47</v>
      </c>
      <c r="P85" s="5">
        <f>_xlfn.XLOOKUP(_xlfn.XLOOKUP(E85,nom_commune,villes_clients!D:D,0,0),Seuil_population,Nuitée,0,1) * J85</f>
        <v>300</v>
      </c>
      <c r="Q85" s="5">
        <f>_xlfn.XLOOKUP( _xlfn.CONCAT(A85,"-",_xlfn.XLOOKUP(A85,Matr,Consultants!E:E) ),Dernier_contrat,Contrats!D:D,0,0) * IF(J85&gt;0,J85,1)</f>
        <v>508</v>
      </c>
      <c r="R85" s="44">
        <f t="shared" si="3"/>
        <v>846.60249999999996</v>
      </c>
      <c r="S85" s="6">
        <f>( IF(F85="train", CO2_Train, _xlfn.XLOOKUP(I85,Immat_voitures,voitures_declarees!L:L,0,0)) * N85 ) / 1000</f>
        <v>0.86194255571469702</v>
      </c>
    </row>
    <row r="86" spans="1:19" x14ac:dyDescent="0.2">
      <c r="A86">
        <v>6423</v>
      </c>
      <c r="B86">
        <v>5674</v>
      </c>
      <c r="C86" s="3">
        <v>46308</v>
      </c>
      <c r="D86" s="3">
        <v>46312</v>
      </c>
      <c r="E86" t="s">
        <v>111</v>
      </c>
      <c r="F86" t="s">
        <v>82</v>
      </c>
      <c r="H86" t="s">
        <v>79</v>
      </c>
      <c r="I86" s="49" t="s">
        <v>112</v>
      </c>
      <c r="J86">
        <f t="shared" si="2"/>
        <v>4</v>
      </c>
      <c r="K86" t="str">
        <f>_xlfn.XLOOKUP($B86,Num_Projet,Projets!B:B,"Inexistant",0)</f>
        <v>SuiviConso</v>
      </c>
      <c r="L86" t="str">
        <f>_xlfn.XLOOKUP($B86,Num_Projet,Projets!C:C,"Inexistant",0)</f>
        <v>gouvernance</v>
      </c>
      <c r="M86" t="str">
        <f>_xlfn.XLOOKUP($B86,Num_Projet,Projets!D:D,"Inexistant",0)</f>
        <v>Banque Invest</v>
      </c>
      <c r="N86" s="6">
        <f>_xlfn.XLOOKUP(E86,nom_commune,villes_clients!E:E)*2</f>
        <v>24.6966807629126</v>
      </c>
      <c r="O86" s="5">
        <f>IF(F86="train",G86,_xlfn.XLOOKUP(B86,Num_Projet,Projets!G:G,0,0)*N86)</f>
        <v>284.50576238875311</v>
      </c>
      <c r="P86" s="5">
        <f>_xlfn.XLOOKUP(_xlfn.XLOOKUP(E86,nom_commune,villes_clients!D:D,0,0),Seuil_population,Nuitée,0,1) * J86</f>
        <v>300</v>
      </c>
      <c r="Q86" s="5">
        <f>_xlfn.XLOOKUP( _xlfn.CONCAT(A86,"-",_xlfn.XLOOKUP(A86,Matr,Consultants!E:E) ),Dernier_contrat,Contrats!D:D,0,0) * IF(J86&gt;0,J86,1)</f>
        <v>836</v>
      </c>
      <c r="R86" s="44">
        <f t="shared" si="3"/>
        <v>1420.5057623887531</v>
      </c>
      <c r="S86" s="6">
        <f>( IF(F86="train", CO2_Train, _xlfn.XLOOKUP(I86,Immat_voitures,voitures_declarees!L:L,0,0)) * N86 ) / 1000</f>
        <v>2.5437581185799978</v>
      </c>
    </row>
    <row r="87" spans="1:19" x14ac:dyDescent="0.2">
      <c r="A87">
        <v>5959</v>
      </c>
      <c r="B87">
        <v>9018</v>
      </c>
      <c r="C87" s="3">
        <v>46308</v>
      </c>
      <c r="D87" s="3">
        <v>46318</v>
      </c>
      <c r="E87" t="s">
        <v>101</v>
      </c>
      <c r="F87" t="s">
        <v>82</v>
      </c>
      <c r="H87" t="s">
        <v>79</v>
      </c>
      <c r="I87" s="49" t="s">
        <v>114</v>
      </c>
      <c r="J87">
        <f t="shared" si="2"/>
        <v>9</v>
      </c>
      <c r="K87" t="str">
        <f>_xlfn.XLOOKUP($B87,Num_Projet,Projets!B:B,"Inexistant",0)</f>
        <v>Onix</v>
      </c>
      <c r="L87" t="str">
        <f>_xlfn.XLOOKUP($B87,Num_Projet,Projets!C:C,"Inexistant",0)</f>
        <v>systèmes d'information</v>
      </c>
      <c r="M87" t="str">
        <f>_xlfn.XLOOKUP($B87,Num_Projet,Projets!D:D,"Inexistant",0)</f>
        <v>Société AHT</v>
      </c>
      <c r="N87" s="6">
        <f>_xlfn.XLOOKUP(E87,nom_commune,villes_clients!E:E)*2</f>
        <v>34.000642244132983</v>
      </c>
      <c r="O87" s="5">
        <f>IF(F87="train",G87,_xlfn.XLOOKUP(B87,Num_Projet,Projets!G:G,0,0)*N87)</f>
        <v>215.5640718278031</v>
      </c>
      <c r="P87" s="5">
        <f>_xlfn.XLOOKUP(_xlfn.XLOOKUP(E87,nom_commune,villes_clients!D:D,0,0),Seuil_population,Nuitée,0,1) * J87</f>
        <v>450</v>
      </c>
      <c r="Q87" s="5">
        <f>_xlfn.XLOOKUP( _xlfn.CONCAT(A87,"-",_xlfn.XLOOKUP(A87,Matr,Consultants!E:E) ),Dernier_contrat,Contrats!D:D,0,0) * IF(J87&gt;0,J87,1)</f>
        <v>1782</v>
      </c>
      <c r="R87" s="44">
        <f t="shared" si="3"/>
        <v>2447.5640718278032</v>
      </c>
      <c r="S87" s="6">
        <f>( IF(F87="train", CO2_Train, _xlfn.XLOOKUP(I87,Immat_voitures,voitures_declarees!L:L,0,0)) * N87 ) / 1000</f>
        <v>6.8001284488265963</v>
      </c>
    </row>
    <row r="88" spans="1:19" x14ac:dyDescent="0.2">
      <c r="A88">
        <v>3582</v>
      </c>
      <c r="B88">
        <v>9256</v>
      </c>
      <c r="C88" s="3">
        <v>46309</v>
      </c>
      <c r="D88" s="3">
        <v>46317</v>
      </c>
      <c r="E88" t="s">
        <v>140</v>
      </c>
      <c r="F88" t="s">
        <v>78</v>
      </c>
      <c r="G88" s="5">
        <v>265.82</v>
      </c>
      <c r="H88" t="s">
        <v>79</v>
      </c>
      <c r="J88">
        <f t="shared" si="2"/>
        <v>7</v>
      </c>
      <c r="K88" t="str">
        <f>_xlfn.XLOOKUP($B88,Num_Projet,Projets!B:B,"Inexistant",0)</f>
        <v>Log2030</v>
      </c>
      <c r="L88" t="str">
        <f>_xlfn.XLOOKUP($B88,Num_Projet,Projets!C:C,"Inexistant",0)</f>
        <v>gouvernance</v>
      </c>
      <c r="M88" t="str">
        <f>_xlfn.XLOOKUP($B88,Num_Projet,Projets!D:D,"Inexistant",0)</f>
        <v>Banque Invest</v>
      </c>
      <c r="N88" s="6">
        <f>_xlfn.XLOOKUP(E88,nom_commune,villes_clients!E:E)*2</f>
        <v>1233.7826267272476</v>
      </c>
      <c r="O88" s="5">
        <f>IF(F88="train",G88,_xlfn.XLOOKUP(B88,Num_Projet,Projets!G:G,0,0)*N88)</f>
        <v>265.82</v>
      </c>
      <c r="P88" s="5">
        <f>_xlfn.XLOOKUP(_xlfn.XLOOKUP(E88,nom_commune,villes_clients!D:D,0,0),Seuil_population,Nuitée,0,1) * J88</f>
        <v>350</v>
      </c>
      <c r="Q88" s="5">
        <f>_xlfn.XLOOKUP( _xlfn.CONCAT(A88,"-",_xlfn.XLOOKUP(A88,Matr,Consultants!E:E) ),Dernier_contrat,Contrats!D:D,0,0) * IF(J88&gt;0,J88,1)</f>
        <v>588</v>
      </c>
      <c r="R88" s="44">
        <f t="shared" si="3"/>
        <v>1203.82</v>
      </c>
      <c r="S88" s="6">
        <f>( IF(F88="train", CO2_Train, _xlfn.XLOOKUP(I88,Immat_voitures,voitures_declarees!L:L,0,0)) * N88 ) / 1000</f>
        <v>2.4675652534544952</v>
      </c>
    </row>
    <row r="89" spans="1:19" x14ac:dyDescent="0.2">
      <c r="A89">
        <v>4733</v>
      </c>
      <c r="B89">
        <v>2764</v>
      </c>
      <c r="C89" s="3">
        <v>46312</v>
      </c>
      <c r="D89" s="3">
        <v>46313</v>
      </c>
      <c r="E89" t="s">
        <v>119</v>
      </c>
      <c r="F89" t="s">
        <v>82</v>
      </c>
      <c r="H89" t="s">
        <v>79</v>
      </c>
      <c r="I89" s="49" t="s">
        <v>107</v>
      </c>
      <c r="J89">
        <f t="shared" si="2"/>
        <v>0</v>
      </c>
      <c r="K89" t="str">
        <f>_xlfn.XLOOKUP($B89,Num_Projet,Projets!B:B,"Inexistant",0)</f>
        <v>MARCO</v>
      </c>
      <c r="L89" t="str">
        <f>_xlfn.XLOOKUP($B89,Num_Projet,Projets!C:C,"Inexistant",0)</f>
        <v>transformation digital</v>
      </c>
      <c r="M89" t="str">
        <f>_xlfn.XLOOKUP($B89,Num_Projet,Projets!D:D,"Inexistant",0)</f>
        <v>Banque Invest</v>
      </c>
      <c r="N89" s="6">
        <f>_xlfn.XLOOKUP(E89,nom_commune,villes_clients!E:E)*2</f>
        <v>11.430453806573089</v>
      </c>
      <c r="O89" s="5">
        <f>IF(F89="train",G89,_xlfn.XLOOKUP(B89,Num_Projet,Projets!G:G,0,0)*N89)</f>
        <v>80.356090260208816</v>
      </c>
      <c r="P89" s="5">
        <f>_xlfn.XLOOKUP(_xlfn.XLOOKUP(E89,nom_commune,villes_clients!D:D,0,0),Seuil_population,Nuitée,0,1) * J89</f>
        <v>0</v>
      </c>
      <c r="Q89" s="5">
        <f>_xlfn.XLOOKUP( _xlfn.CONCAT(A89,"-",_xlfn.XLOOKUP(A89,Matr,Consultants!E:E) ),Dernier_contrat,Contrats!D:D,0,0) * IF(J89&gt;0,J89,1)</f>
        <v>194</v>
      </c>
      <c r="R89" s="44">
        <f t="shared" si="3"/>
        <v>274.35609026020882</v>
      </c>
      <c r="S89" s="6">
        <f>( IF(F89="train", CO2_Train, _xlfn.XLOOKUP(I89,Immat_voitures,voitures_declarees!L:L,0,0)) * N89 ) / 1000</f>
        <v>2.4461171146066412</v>
      </c>
    </row>
    <row r="90" spans="1:19" x14ac:dyDescent="0.2">
      <c r="A90">
        <v>3542</v>
      </c>
      <c r="B90">
        <v>3987</v>
      </c>
      <c r="C90" s="3">
        <v>46313</v>
      </c>
      <c r="D90" s="3">
        <v>46316</v>
      </c>
      <c r="E90" t="s">
        <v>105</v>
      </c>
      <c r="F90" t="s">
        <v>82</v>
      </c>
      <c r="H90" t="s">
        <v>79</v>
      </c>
      <c r="I90" s="49" t="s">
        <v>83</v>
      </c>
      <c r="J90">
        <f t="shared" si="2"/>
        <v>3</v>
      </c>
      <c r="K90" t="str">
        <f>_xlfn.XLOOKUP($B90,Num_Projet,Projets!B:B,"Inexistant",0)</f>
        <v>Gamma</v>
      </c>
      <c r="L90" t="str">
        <f>_xlfn.XLOOKUP($B90,Num_Projet,Projets!C:C,"Inexistant",0)</f>
        <v>gouvernance</v>
      </c>
      <c r="M90" t="str">
        <f>_xlfn.XLOOKUP($B90,Num_Projet,Projets!D:D,"Inexistant",0)</f>
        <v>Cooperative Muvuca</v>
      </c>
      <c r="N90" s="6">
        <f>_xlfn.XLOOKUP(E90,nom_commune,villes_clients!E:E)*2</f>
        <v>18.704795145201192</v>
      </c>
      <c r="O90" s="5">
        <f>IF(F90="train",G90,_xlfn.XLOOKUP(B90,Num_Projet,Projets!G:G,0,0)*N90)</f>
        <v>183.86813627732772</v>
      </c>
      <c r="P90" s="5">
        <f>_xlfn.XLOOKUP(_xlfn.XLOOKUP(E90,nom_commune,villes_clients!D:D,0,0),Seuil_population,Nuitée,0,1) * J90</f>
        <v>225</v>
      </c>
      <c r="Q90" s="5">
        <f>_xlfn.XLOOKUP( _xlfn.CONCAT(A90,"-",_xlfn.XLOOKUP(A90,Matr,Consultants!E:E) ),Dernier_contrat,Contrats!D:D,0,0) * IF(J90&gt;0,J90,1)</f>
        <v>441</v>
      </c>
      <c r="R90" s="44">
        <f t="shared" si="3"/>
        <v>849.86813627732772</v>
      </c>
      <c r="S90" s="6">
        <f>( IF(F90="train", CO2_Train, _xlfn.XLOOKUP(I90,Immat_voitures,voitures_declarees!L:L,0,0)) * N90 ) / 1000</f>
        <v>3.3481583309910135</v>
      </c>
    </row>
    <row r="91" spans="1:19" x14ac:dyDescent="0.2">
      <c r="A91">
        <v>5211</v>
      </c>
      <c r="B91">
        <v>7717</v>
      </c>
      <c r="C91" s="3">
        <v>46315</v>
      </c>
      <c r="D91" s="3">
        <v>46322</v>
      </c>
      <c r="E91" t="s">
        <v>154</v>
      </c>
      <c r="F91" t="s">
        <v>82</v>
      </c>
      <c r="H91" t="s">
        <v>85</v>
      </c>
      <c r="I91" s="49" t="s">
        <v>88</v>
      </c>
      <c r="J91">
        <f t="shared" si="2"/>
        <v>6</v>
      </c>
      <c r="K91" t="str">
        <f>_xlfn.XLOOKUP($B91,Num_Projet,Projets!B:B,"Inexistant",0)</f>
        <v>Alpha</v>
      </c>
      <c r="L91" t="str">
        <f>_xlfn.XLOOKUP($B91,Num_Projet,Projets!C:C,"Inexistant",0)</f>
        <v>gouvernance</v>
      </c>
      <c r="M91" t="str">
        <f>_xlfn.XLOOKUP($B91,Num_Projet,Projets!D:D,"Inexistant",0)</f>
        <v>Industries Nova Tech</v>
      </c>
      <c r="N91" s="6">
        <f>_xlfn.XLOOKUP(E91,nom_commune,villes_clients!E:E)*2</f>
        <v>57.50657668707499</v>
      </c>
      <c r="O91" s="5">
        <f>IF(F91="train",G91,_xlfn.XLOOKUP(B91,Num_Projet,Projets!G:G,0,0)*N91)</f>
        <v>484.20537570517143</v>
      </c>
      <c r="P91" s="5">
        <f>_xlfn.XLOOKUP(_xlfn.XLOOKUP(E91,nom_commune,villes_clients!D:D,0,0),Seuil_population,Nuitée,0,1) * J91</f>
        <v>300</v>
      </c>
      <c r="Q91" s="5">
        <f>_xlfn.XLOOKUP( _xlfn.CONCAT(A91,"-",_xlfn.XLOOKUP(A91,Matr,Consultants!E:E) ),Dernier_contrat,Contrats!D:D,0,0) * IF(J91&gt;0,J91,1)</f>
        <v>1062</v>
      </c>
      <c r="R91" s="44">
        <f t="shared" si="3"/>
        <v>1650.1540317788786</v>
      </c>
      <c r="S91" s="6">
        <f>( IF(F91="train", CO2_Train, _xlfn.XLOOKUP(I91,Immat_voitures,voitures_declarees!L:L,0,0)) * N91 ) / 1000</f>
        <v>6.3257234355782481</v>
      </c>
    </row>
    <row r="92" spans="1:19" x14ac:dyDescent="0.2">
      <c r="A92">
        <v>4359</v>
      </c>
      <c r="B92">
        <v>9437</v>
      </c>
      <c r="C92" s="3">
        <v>46315</v>
      </c>
      <c r="D92" s="3">
        <v>46318</v>
      </c>
      <c r="E92" t="s">
        <v>96</v>
      </c>
      <c r="F92" t="s">
        <v>82</v>
      </c>
      <c r="H92" t="s">
        <v>79</v>
      </c>
      <c r="I92" s="49" t="s">
        <v>94</v>
      </c>
      <c r="J92">
        <f t="shared" si="2"/>
        <v>4</v>
      </c>
      <c r="K92" t="str">
        <f>_xlfn.XLOOKUP($B92,Num_Projet,Projets!B:B,"Inexistant",0)</f>
        <v>E30</v>
      </c>
      <c r="L92" t="str">
        <f>_xlfn.XLOOKUP($B92,Num_Projet,Projets!C:C,"Inexistant",0)</f>
        <v>gouvernance</v>
      </c>
      <c r="M92" t="str">
        <f>_xlfn.XLOOKUP($B92,Num_Projet,Projets!D:D,"Inexistant",0)</f>
        <v>Cooperative Muvuca</v>
      </c>
      <c r="N92" s="6">
        <f>_xlfn.XLOOKUP(E92,nom_commune,villes_clients!E:E)*2</f>
        <v>29.536377804270522</v>
      </c>
      <c r="O92" s="5">
        <f>IF(F92="train",G92,_xlfn.XLOOKUP(B92,Num_Projet,Projets!G:G,0,0)*N92)</f>
        <v>204.68709818359471</v>
      </c>
      <c r="P92" s="5">
        <f>_xlfn.XLOOKUP(_xlfn.XLOOKUP(E92,nom_commune,villes_clients!D:D,0,0),Seuil_population,Nuitée,0,1) * J92</f>
        <v>300</v>
      </c>
      <c r="Q92" s="5">
        <f>_xlfn.XLOOKUP( _xlfn.CONCAT(A92,"-",_xlfn.XLOOKUP(A92,Matr,Consultants!E:E) ),Dernier_contrat,Contrats!D:D,0,0) * IF(J92&gt;0,J92,1)</f>
        <v>408</v>
      </c>
      <c r="R92" s="44">
        <f t="shared" si="3"/>
        <v>912.68709818359468</v>
      </c>
      <c r="S92" s="6">
        <f>( IF(F92="train", CO2_Train, _xlfn.XLOOKUP(I92,Immat_voitures,voitures_declarees!L:L,0,0)) * N92 ) / 1000</f>
        <v>4.8144295820960954</v>
      </c>
    </row>
    <row r="93" spans="1:19" x14ac:dyDescent="0.2">
      <c r="A93">
        <v>7954</v>
      </c>
      <c r="B93">
        <v>4125</v>
      </c>
      <c r="C93" s="3">
        <v>46318</v>
      </c>
      <c r="D93" s="3">
        <v>46326</v>
      </c>
      <c r="E93" t="s">
        <v>109</v>
      </c>
      <c r="F93" t="s">
        <v>82</v>
      </c>
      <c r="H93" t="s">
        <v>79</v>
      </c>
      <c r="I93" s="49" t="s">
        <v>88</v>
      </c>
      <c r="J93">
        <f t="shared" si="2"/>
        <v>6</v>
      </c>
      <c r="K93" t="str">
        <f>_xlfn.XLOOKUP($B93,Num_Projet,Projets!B:B,"Inexistant",0)</f>
        <v>ADV</v>
      </c>
      <c r="L93" t="str">
        <f>_xlfn.XLOOKUP($B93,Num_Projet,Projets!C:C,"Inexistant",0)</f>
        <v>gouvernance</v>
      </c>
      <c r="M93" t="str">
        <f>_xlfn.XLOOKUP($B93,Num_Projet,Projets!D:D,"Inexistant",0)</f>
        <v>Industries Nova Tech</v>
      </c>
      <c r="N93" s="6">
        <f>_xlfn.XLOOKUP(E93,nom_commune,villes_clients!E:E)*2</f>
        <v>1373.4564493751479</v>
      </c>
      <c r="O93" s="5">
        <f>IF(F93="train",G93,_xlfn.XLOOKUP(B93,Num_Projet,Projets!G:G,0,0)*N93)</f>
        <v>11083.793546457444</v>
      </c>
      <c r="P93" s="5">
        <f>_xlfn.XLOOKUP(_xlfn.XLOOKUP(E93,nom_commune,villes_clients!D:D,0,0),Seuil_population,Nuitée,0,1) * J93</f>
        <v>450</v>
      </c>
      <c r="Q93" s="5">
        <f>_xlfn.XLOOKUP( _xlfn.CONCAT(A93,"-",_xlfn.XLOOKUP(A93,Matr,Consultants!E:E) ),Dernier_contrat,Contrats!D:D,0,0) * IF(J93&gt;0,J93,1)</f>
        <v>690</v>
      </c>
      <c r="R93" s="44">
        <f t="shared" si="3"/>
        <v>12223.793546457444</v>
      </c>
      <c r="S93" s="6">
        <f>( IF(F93="train", CO2_Train, _xlfn.XLOOKUP(I93,Immat_voitures,voitures_declarees!L:L,0,0)) * N93 ) / 1000</f>
        <v>151.08020943126627</v>
      </c>
    </row>
    <row r="94" spans="1:19" x14ac:dyDescent="0.2">
      <c r="A94">
        <v>4733</v>
      </c>
      <c r="B94">
        <v>7371</v>
      </c>
      <c r="C94" s="3">
        <v>46318</v>
      </c>
      <c r="D94" s="3">
        <v>46330</v>
      </c>
      <c r="E94" t="s">
        <v>166</v>
      </c>
      <c r="F94" t="s">
        <v>78</v>
      </c>
      <c r="G94" s="5">
        <v>341.43</v>
      </c>
      <c r="H94" t="s">
        <v>85</v>
      </c>
      <c r="J94">
        <f t="shared" si="2"/>
        <v>9</v>
      </c>
      <c r="K94" t="str">
        <f>_xlfn.XLOOKUP($B94,Num_Projet,Projets!B:B,"Inexistant",0)</f>
        <v>Infra2</v>
      </c>
      <c r="L94" t="str">
        <f>_xlfn.XLOOKUP($B94,Num_Projet,Projets!C:C,"Inexistant",0)</f>
        <v>cybersécurité</v>
      </c>
      <c r="M94" t="str">
        <f>_xlfn.XLOOKUP($B94,Num_Projet,Projets!D:D,"Inexistant",0)</f>
        <v>Société AHT</v>
      </c>
      <c r="N94" s="6">
        <f>_xlfn.XLOOKUP(E94,nom_commune,villes_clients!E:E)*2</f>
        <v>529.19819952002911</v>
      </c>
      <c r="O94" s="5">
        <f>IF(F94="train",G94,_xlfn.XLOOKUP(B94,Num_Projet,Projets!G:G,0,0)*N94)</f>
        <v>341.43</v>
      </c>
      <c r="P94" s="5">
        <f>_xlfn.XLOOKUP(_xlfn.XLOOKUP(E94,nom_commune,villes_clients!D:D,0,0),Seuil_population,Nuitée,0,1) * J94</f>
        <v>900</v>
      </c>
      <c r="Q94" s="5">
        <f>_xlfn.XLOOKUP( _xlfn.CONCAT(A94,"-",_xlfn.XLOOKUP(A94,Matr,Consultants!E:E) ),Dernier_contrat,Contrats!D:D,0,0) * IF(J94&gt;0,J94,1)</f>
        <v>1746</v>
      </c>
      <c r="R94" s="44">
        <f t="shared" si="3"/>
        <v>2677.0725000000002</v>
      </c>
      <c r="S94" s="6">
        <f>( IF(F94="train", CO2_Train, _xlfn.XLOOKUP(I94,Immat_voitures,voitures_declarees!L:L,0,0)) * N94 ) / 1000</f>
        <v>1.0583963990400582</v>
      </c>
    </row>
    <row r="95" spans="1:19" x14ac:dyDescent="0.2">
      <c r="A95">
        <v>4751</v>
      </c>
      <c r="B95">
        <v>8140</v>
      </c>
      <c r="C95" s="3">
        <v>46319</v>
      </c>
      <c r="D95" s="3">
        <v>46325</v>
      </c>
      <c r="E95" t="s">
        <v>115</v>
      </c>
      <c r="F95" t="s">
        <v>78</v>
      </c>
      <c r="G95" s="5">
        <v>275.66000000000003</v>
      </c>
      <c r="H95" t="s">
        <v>85</v>
      </c>
      <c r="J95">
        <f t="shared" si="2"/>
        <v>5</v>
      </c>
      <c r="K95" t="str">
        <f>_xlfn.XLOOKUP($B95,Num_Projet,Projets!B:B,"Inexistant",0)</f>
        <v>Beta</v>
      </c>
      <c r="L95" t="str">
        <f>_xlfn.XLOOKUP($B95,Num_Projet,Projets!C:C,"Inexistant",0)</f>
        <v>systèmes d'information</v>
      </c>
      <c r="M95" t="str">
        <f>_xlfn.XLOOKUP($B95,Num_Projet,Projets!D:D,"Inexistant",0)</f>
        <v>Société AHT</v>
      </c>
      <c r="N95" s="6">
        <f>_xlfn.XLOOKUP(E95,nom_commune,villes_clients!E:E)*2</f>
        <v>683.30734654703679</v>
      </c>
      <c r="O95" s="5">
        <f>IF(F95="train",G95,_xlfn.XLOOKUP(B95,Num_Projet,Projets!G:G,0,0)*N95)</f>
        <v>275.66000000000003</v>
      </c>
      <c r="P95" s="5">
        <f>_xlfn.XLOOKUP(_xlfn.XLOOKUP(E95,nom_commune,villes_clients!D:D,0,0),Seuil_population,Nuitée,0,1) * J95</f>
        <v>500</v>
      </c>
      <c r="Q95" s="5">
        <f>_xlfn.XLOOKUP( _xlfn.CONCAT(A95,"-",_xlfn.XLOOKUP(A95,Matr,Consultants!E:E) ),Dernier_contrat,Contrats!D:D,0,0) * IF(J95&gt;0,J95,1)</f>
        <v>730</v>
      </c>
      <c r="R95" s="44">
        <f t="shared" si="3"/>
        <v>1311.7450000000001</v>
      </c>
      <c r="S95" s="6">
        <f>( IF(F95="train", CO2_Train, _xlfn.XLOOKUP(I95,Immat_voitures,voitures_declarees!L:L,0,0)) * N95 ) / 1000</f>
        <v>1.3666146930940735</v>
      </c>
    </row>
    <row r="96" spans="1:19" x14ac:dyDescent="0.2">
      <c r="A96">
        <v>5607</v>
      </c>
      <c r="B96">
        <v>3987</v>
      </c>
      <c r="C96" s="3">
        <v>46319</v>
      </c>
      <c r="D96" s="3">
        <v>46330</v>
      </c>
      <c r="E96" t="s">
        <v>170</v>
      </c>
      <c r="F96" t="s">
        <v>82</v>
      </c>
      <c r="H96" t="s">
        <v>79</v>
      </c>
      <c r="I96" s="49" t="s">
        <v>94</v>
      </c>
      <c r="J96">
        <f t="shared" si="2"/>
        <v>8</v>
      </c>
      <c r="K96" t="str">
        <f>_xlfn.XLOOKUP($B96,Num_Projet,Projets!B:B,"Inexistant",0)</f>
        <v>Gamma</v>
      </c>
      <c r="L96" t="str">
        <f>_xlfn.XLOOKUP($B96,Num_Projet,Projets!C:C,"Inexistant",0)</f>
        <v>gouvernance</v>
      </c>
      <c r="M96" t="str">
        <f>_xlfn.XLOOKUP($B96,Num_Projet,Projets!D:D,"Inexistant",0)</f>
        <v>Cooperative Muvuca</v>
      </c>
      <c r="N96" s="6">
        <f>_xlfn.XLOOKUP(E96,nom_commune,villes_clients!E:E)*2</f>
        <v>1161.0252128104009</v>
      </c>
      <c r="O96" s="5">
        <f>IF(F96="train",G96,_xlfn.XLOOKUP(B96,Num_Projet,Projets!G:G,0,0)*N96)</f>
        <v>11412.877841926242</v>
      </c>
      <c r="P96" s="5">
        <f>_xlfn.XLOOKUP(_xlfn.XLOOKUP(E96,nom_commune,villes_clients!D:D,0,0),Seuil_population,Nuitée,0,1) * J96</f>
        <v>600</v>
      </c>
      <c r="Q96" s="5">
        <f>_xlfn.XLOOKUP( _xlfn.CONCAT(A96,"-",_xlfn.XLOOKUP(A96,Matr,Consultants!E:E) ),Dernier_contrat,Contrats!D:D,0,0) * IF(J96&gt;0,J96,1)</f>
        <v>832</v>
      </c>
      <c r="R96" s="44">
        <f t="shared" si="3"/>
        <v>12844.877841926242</v>
      </c>
      <c r="S96" s="6">
        <f>( IF(F96="train", CO2_Train, _xlfn.XLOOKUP(I96,Immat_voitures,voitures_declarees!L:L,0,0)) * N96 ) / 1000</f>
        <v>189.24710968809535</v>
      </c>
    </row>
    <row r="97" spans="1:19" x14ac:dyDescent="0.2">
      <c r="A97">
        <v>8988</v>
      </c>
      <c r="B97">
        <v>9256</v>
      </c>
      <c r="C97" s="3">
        <v>46319</v>
      </c>
      <c r="D97" s="3">
        <v>46326</v>
      </c>
      <c r="E97" t="s">
        <v>123</v>
      </c>
      <c r="F97" t="s">
        <v>82</v>
      </c>
      <c r="H97" t="s">
        <v>85</v>
      </c>
      <c r="I97" s="49" t="s">
        <v>83</v>
      </c>
      <c r="J97">
        <f t="shared" si="2"/>
        <v>5</v>
      </c>
      <c r="K97" t="str">
        <f>_xlfn.XLOOKUP($B97,Num_Projet,Projets!B:B,"Inexistant",0)</f>
        <v>Log2030</v>
      </c>
      <c r="L97" t="str">
        <f>_xlfn.XLOOKUP($B97,Num_Projet,Projets!C:C,"Inexistant",0)</f>
        <v>gouvernance</v>
      </c>
      <c r="M97" t="str">
        <f>_xlfn.XLOOKUP($B97,Num_Projet,Projets!D:D,"Inexistant",0)</f>
        <v>Banque Invest</v>
      </c>
      <c r="N97" s="6">
        <f>_xlfn.XLOOKUP(E97,nom_commune,villes_clients!E:E)*2</f>
        <v>1007.2300393951127</v>
      </c>
      <c r="O97" s="5">
        <f>IF(F97="train",G97,_xlfn.XLOOKUP(B97,Num_Projet,Projets!G:G,0,0)*N97)</f>
        <v>6647.718260007744</v>
      </c>
      <c r="P97" s="5">
        <f>_xlfn.XLOOKUP(_xlfn.XLOOKUP(E97,nom_commune,villes_clients!D:D,0,0),Seuil_population,Nuitée,0,1) * J97</f>
        <v>250</v>
      </c>
      <c r="Q97" s="5">
        <f>_xlfn.XLOOKUP( _xlfn.CONCAT(A97,"-",_xlfn.XLOOKUP(A97,Matr,Consultants!E:E) ),Dernier_contrat,Contrats!D:D,0,0) * IF(J97&gt;0,J97,1)</f>
        <v>990</v>
      </c>
      <c r="R97" s="44">
        <f t="shared" si="3"/>
        <v>6163.2886950058082</v>
      </c>
      <c r="S97" s="6">
        <f>( IF(F97="train", CO2_Train, _xlfn.XLOOKUP(I97,Immat_voitures,voitures_declarees!L:L,0,0)) * N97 ) / 1000</f>
        <v>180.2941770517252</v>
      </c>
    </row>
    <row r="98" spans="1:19" x14ac:dyDescent="0.2">
      <c r="A98">
        <v>7063</v>
      </c>
      <c r="B98">
        <v>3987</v>
      </c>
      <c r="C98" s="3">
        <v>46320</v>
      </c>
      <c r="D98" s="3">
        <v>46327</v>
      </c>
      <c r="E98" t="s">
        <v>117</v>
      </c>
      <c r="F98" t="s">
        <v>82</v>
      </c>
      <c r="H98" t="s">
        <v>85</v>
      </c>
      <c r="I98" s="49" t="s">
        <v>114</v>
      </c>
      <c r="J98">
        <f t="shared" si="2"/>
        <v>5</v>
      </c>
      <c r="K98" t="str">
        <f>_xlfn.XLOOKUP($B98,Num_Projet,Projets!B:B,"Inexistant",0)</f>
        <v>Gamma</v>
      </c>
      <c r="L98" t="str">
        <f>_xlfn.XLOOKUP($B98,Num_Projet,Projets!C:C,"Inexistant",0)</f>
        <v>gouvernance</v>
      </c>
      <c r="M98" t="str">
        <f>_xlfn.XLOOKUP($B98,Num_Projet,Projets!D:D,"Inexistant",0)</f>
        <v>Cooperative Muvuca</v>
      </c>
      <c r="N98" s="6">
        <f>_xlfn.XLOOKUP(E98,nom_commune,villes_clients!E:E)*2</f>
        <v>23.369681001270123</v>
      </c>
      <c r="O98" s="5">
        <f>IF(F98="train",G98,_xlfn.XLOOKUP(B98,Num_Projet,Projets!G:G,0,0)*N98)</f>
        <v>229.72396424248532</v>
      </c>
      <c r="P98" s="5">
        <f>_xlfn.XLOOKUP(_xlfn.XLOOKUP(E98,nom_commune,villes_clients!D:D,0,0),Seuil_population,Nuitée,0,1) * J98</f>
        <v>250</v>
      </c>
      <c r="Q98" s="5">
        <f>_xlfn.XLOOKUP( _xlfn.CONCAT(A98,"-",_xlfn.XLOOKUP(A98,Matr,Consultants!E:E) ),Dernier_contrat,Contrats!D:D,0,0) * IF(J98&gt;0,J98,1)</f>
        <v>710</v>
      </c>
      <c r="R98" s="44">
        <f t="shared" si="3"/>
        <v>1069.792973181864</v>
      </c>
      <c r="S98" s="6">
        <f>( IF(F98="train", CO2_Train, _xlfn.XLOOKUP(I98,Immat_voitures,voitures_declarees!L:L,0,0)) * N98 ) / 1000</f>
        <v>4.6739362002540243</v>
      </c>
    </row>
    <row r="99" spans="1:19" x14ac:dyDescent="0.2">
      <c r="A99">
        <v>4744</v>
      </c>
      <c r="B99">
        <v>9437</v>
      </c>
      <c r="C99" s="3">
        <v>46322</v>
      </c>
      <c r="D99" s="3">
        <v>46331</v>
      </c>
      <c r="E99" t="s">
        <v>176</v>
      </c>
      <c r="F99" t="s">
        <v>78</v>
      </c>
      <c r="G99" s="5">
        <v>148.6</v>
      </c>
      <c r="H99" t="s">
        <v>79</v>
      </c>
      <c r="J99">
        <f t="shared" si="2"/>
        <v>8</v>
      </c>
      <c r="K99" t="str">
        <f>_xlfn.XLOOKUP($B99,Num_Projet,Projets!B:B,"Inexistant",0)</f>
        <v>E30</v>
      </c>
      <c r="L99" t="str">
        <f>_xlfn.XLOOKUP($B99,Num_Projet,Projets!C:C,"Inexistant",0)</f>
        <v>gouvernance</v>
      </c>
      <c r="M99" t="str">
        <f>_xlfn.XLOOKUP($B99,Num_Projet,Projets!D:D,"Inexistant",0)</f>
        <v>Cooperative Muvuca</v>
      </c>
      <c r="N99" s="6">
        <f>_xlfn.XLOOKUP(E99,nom_commune,villes_clients!E:E)*2</f>
        <v>226.61493313083076</v>
      </c>
      <c r="O99" s="5">
        <f>IF(F99="train",G99,_xlfn.XLOOKUP(B99,Num_Projet,Projets!G:G,0,0)*N99)</f>
        <v>148.6</v>
      </c>
      <c r="P99" s="5">
        <f>_xlfn.XLOOKUP(_xlfn.XLOOKUP(E99,nom_commune,villes_clients!D:D,0,0),Seuil_population,Nuitée,0,1) * J99</f>
        <v>600</v>
      </c>
      <c r="Q99" s="5">
        <f>_xlfn.XLOOKUP( _xlfn.CONCAT(A99,"-",_xlfn.XLOOKUP(A99,Matr,Consultants!E:E) ),Dernier_contrat,Contrats!D:D,0,0) * IF(J99&gt;0,J99,1)</f>
        <v>1016</v>
      </c>
      <c r="R99" s="44">
        <f t="shared" si="3"/>
        <v>1764.6</v>
      </c>
      <c r="S99" s="6">
        <f>( IF(F99="train", CO2_Train, _xlfn.XLOOKUP(I99,Immat_voitures,voitures_declarees!L:L,0,0)) * N99 ) / 1000</f>
        <v>0.45322986626166151</v>
      </c>
    </row>
    <row r="100" spans="1:19" x14ac:dyDescent="0.2">
      <c r="A100">
        <v>3582</v>
      </c>
      <c r="B100">
        <v>2764</v>
      </c>
      <c r="C100" s="3">
        <v>46324</v>
      </c>
      <c r="D100" s="3">
        <v>46324</v>
      </c>
      <c r="E100" t="s">
        <v>125</v>
      </c>
      <c r="F100" t="s">
        <v>82</v>
      </c>
      <c r="H100" t="s">
        <v>85</v>
      </c>
      <c r="I100" s="49" t="s">
        <v>112</v>
      </c>
      <c r="J100">
        <f t="shared" si="2"/>
        <v>1</v>
      </c>
      <c r="K100" t="str">
        <f>_xlfn.XLOOKUP($B100,Num_Projet,Projets!B:B,"Inexistant",0)</f>
        <v>MARCO</v>
      </c>
      <c r="L100" t="str">
        <f>_xlfn.XLOOKUP($B100,Num_Projet,Projets!C:C,"Inexistant",0)</f>
        <v>transformation digital</v>
      </c>
      <c r="M100" t="str">
        <f>_xlfn.XLOOKUP($B100,Num_Projet,Projets!D:D,"Inexistant",0)</f>
        <v>Banque Invest</v>
      </c>
      <c r="N100" s="6">
        <f>_xlfn.XLOOKUP(E100,nom_commune,villes_clients!E:E)*2</f>
        <v>1300.1152115931732</v>
      </c>
      <c r="O100" s="5">
        <f>IF(F100="train",G100,_xlfn.XLOOKUP(B100,Num_Projet,Projets!G:G,0,0)*N100)</f>
        <v>9139.8099375000074</v>
      </c>
      <c r="P100" s="5">
        <f>_xlfn.XLOOKUP(_xlfn.XLOOKUP(E100,nom_commune,villes_clients!D:D,0,0),Seuil_population,Nuitée,0,1) * J100</f>
        <v>75</v>
      </c>
      <c r="Q100" s="5">
        <f>_xlfn.XLOOKUP( _xlfn.CONCAT(A100,"-",_xlfn.XLOOKUP(A100,Matr,Consultants!E:E) ),Dernier_contrat,Contrats!D:D,0,0) * IF(J100&gt;0,J100,1)</f>
        <v>84</v>
      </c>
      <c r="R100" s="44">
        <f t="shared" si="3"/>
        <v>6995.1074531250051</v>
      </c>
      <c r="S100" s="6">
        <f>( IF(F100="train", CO2_Train, _xlfn.XLOOKUP(I100,Immat_voitures,voitures_declarees!L:L,0,0)) * N100 ) / 1000</f>
        <v>133.91186679409682</v>
      </c>
    </row>
    <row r="101" spans="1:19" x14ac:dyDescent="0.2">
      <c r="A101">
        <v>6423</v>
      </c>
      <c r="B101">
        <v>3850</v>
      </c>
      <c r="C101" s="3">
        <v>46327</v>
      </c>
      <c r="D101" s="3">
        <v>46327</v>
      </c>
      <c r="E101" t="s">
        <v>113</v>
      </c>
      <c r="F101" t="s">
        <v>82</v>
      </c>
      <c r="H101" t="s">
        <v>79</v>
      </c>
      <c r="I101" s="49" t="s">
        <v>114</v>
      </c>
      <c r="J101">
        <f t="shared" si="2"/>
        <v>0</v>
      </c>
      <c r="K101" t="str">
        <f>_xlfn.XLOOKUP($B101,Num_Projet,Projets!B:B,"Inexistant",0)</f>
        <v>Hercules</v>
      </c>
      <c r="L101" t="str">
        <f>_xlfn.XLOOKUP($B101,Num_Projet,Projets!C:C,"Inexistant",0)</f>
        <v>cybersécurité</v>
      </c>
      <c r="M101" t="str">
        <f>_xlfn.XLOOKUP($B101,Num_Projet,Projets!D:D,"Inexistant",0)</f>
        <v>Société AHT</v>
      </c>
      <c r="N101" s="6">
        <f>_xlfn.XLOOKUP(E101,nom_commune,villes_clients!E:E)*2</f>
        <v>959.88687124935257</v>
      </c>
      <c r="O101" s="5">
        <f>IF(F101="train",G101,_xlfn.XLOOKUP(B101,Num_Projet,Projets!G:G,0,0)*N101)</f>
        <v>11345.862818167348</v>
      </c>
      <c r="P101" s="5">
        <f>_xlfn.XLOOKUP(_xlfn.XLOOKUP(E101,nom_commune,villes_clients!D:D,0,0),Seuil_population,Nuitée,0,1) * J101</f>
        <v>0</v>
      </c>
      <c r="Q101" s="5">
        <f>_xlfn.XLOOKUP( _xlfn.CONCAT(A101,"-",_xlfn.XLOOKUP(A101,Matr,Consultants!E:E) ),Dernier_contrat,Contrats!D:D,0,0) * IF(J101&gt;0,J101,1)</f>
        <v>209</v>
      </c>
      <c r="R101" s="44">
        <f t="shared" si="3"/>
        <v>11554.862818167348</v>
      </c>
      <c r="S101" s="6">
        <f>( IF(F101="train", CO2_Train, _xlfn.XLOOKUP(I101,Immat_voitures,voitures_declarees!L:L,0,0)) * N101 ) / 1000</f>
        <v>191.97737424987051</v>
      </c>
    </row>
    <row r="102" spans="1:19" x14ac:dyDescent="0.2">
      <c r="A102">
        <v>5959</v>
      </c>
      <c r="B102">
        <v>4125</v>
      </c>
      <c r="C102" s="3">
        <v>46327</v>
      </c>
      <c r="D102" s="3">
        <v>46341</v>
      </c>
      <c r="E102" t="s">
        <v>130</v>
      </c>
      <c r="F102" t="s">
        <v>82</v>
      </c>
      <c r="H102" t="s">
        <v>85</v>
      </c>
      <c r="I102" s="49" t="s">
        <v>83</v>
      </c>
      <c r="J102">
        <f t="shared" si="2"/>
        <v>9</v>
      </c>
      <c r="K102" t="str">
        <f>_xlfn.XLOOKUP($B102,Num_Projet,Projets!B:B,"Inexistant",0)</f>
        <v>ADV</v>
      </c>
      <c r="L102" t="str">
        <f>_xlfn.XLOOKUP($B102,Num_Projet,Projets!C:C,"Inexistant",0)</f>
        <v>gouvernance</v>
      </c>
      <c r="M102" t="str">
        <f>_xlfn.XLOOKUP($B102,Num_Projet,Projets!D:D,"Inexistant",0)</f>
        <v>Industries Nova Tech</v>
      </c>
      <c r="N102" s="6">
        <f>_xlfn.XLOOKUP(E102,nom_commune,villes_clients!E:E)*2</f>
        <v>178.50434280757426</v>
      </c>
      <c r="O102" s="5">
        <f>IF(F102="train",G102,_xlfn.XLOOKUP(B102,Num_Projet,Projets!G:G,0,0)*N102)</f>
        <v>1440.5300464571244</v>
      </c>
      <c r="P102" s="5">
        <f>_xlfn.XLOOKUP(_xlfn.XLOOKUP(E102,nom_commune,villes_clients!D:D,0,0),Seuil_population,Nuitée,0,1) * J102</f>
        <v>450</v>
      </c>
      <c r="Q102" s="5">
        <f>_xlfn.XLOOKUP( _xlfn.CONCAT(A102,"-",_xlfn.XLOOKUP(A102,Matr,Consultants!E:E) ),Dernier_contrat,Contrats!D:D,0,0) * IF(J102&gt;0,J102,1)</f>
        <v>1782</v>
      </c>
      <c r="R102" s="44">
        <f t="shared" si="3"/>
        <v>3199.897534842843</v>
      </c>
      <c r="S102" s="6">
        <f>( IF(F102="train", CO2_Train, _xlfn.XLOOKUP(I102,Immat_voitures,voitures_declarees!L:L,0,0)) * N102 ) / 1000</f>
        <v>31.952277362555794</v>
      </c>
    </row>
    <row r="103" spans="1:19" x14ac:dyDescent="0.2">
      <c r="A103">
        <v>4359</v>
      </c>
      <c r="B103">
        <v>2764</v>
      </c>
      <c r="C103" s="3">
        <v>46327</v>
      </c>
      <c r="D103" s="3">
        <v>46342</v>
      </c>
      <c r="E103" t="s">
        <v>87</v>
      </c>
      <c r="F103" t="s">
        <v>82</v>
      </c>
      <c r="H103" t="s">
        <v>85</v>
      </c>
      <c r="I103" s="49" t="s">
        <v>102</v>
      </c>
      <c r="J103">
        <f t="shared" si="2"/>
        <v>10</v>
      </c>
      <c r="K103" t="str">
        <f>_xlfn.XLOOKUP($B103,Num_Projet,Projets!B:B,"Inexistant",0)</f>
        <v>MARCO</v>
      </c>
      <c r="L103" t="str">
        <f>_xlfn.XLOOKUP($B103,Num_Projet,Projets!C:C,"Inexistant",0)</f>
        <v>transformation digital</v>
      </c>
      <c r="M103" t="str">
        <f>_xlfn.XLOOKUP($B103,Num_Projet,Projets!D:D,"Inexistant",0)</f>
        <v>Banque Invest</v>
      </c>
      <c r="N103" s="6">
        <f>_xlfn.XLOOKUP(E103,nom_commune,villes_clients!E:E)*2</f>
        <v>258.21049310952969</v>
      </c>
      <c r="O103" s="5">
        <f>IF(F103="train",G103,_xlfn.XLOOKUP(B103,Num_Projet,Projets!G:G,0,0)*N103)</f>
        <v>1815.2197665599938</v>
      </c>
      <c r="P103" s="5">
        <f>_xlfn.XLOOKUP(_xlfn.XLOOKUP(E103,nom_commune,villes_clients!D:D,0,0),Seuil_population,Nuitée,0,1) * J103</f>
        <v>500</v>
      </c>
      <c r="Q103" s="5">
        <f>_xlfn.XLOOKUP( _xlfn.CONCAT(A103,"-",_xlfn.XLOOKUP(A103,Matr,Consultants!E:E) ),Dernier_contrat,Contrats!D:D,0,0) * IF(J103&gt;0,J103,1)</f>
        <v>1020</v>
      </c>
      <c r="R103" s="44">
        <f t="shared" si="3"/>
        <v>2756.4148249199952</v>
      </c>
      <c r="S103" s="6">
        <f>( IF(F103="train", CO2_Train, _xlfn.XLOOKUP(I103,Immat_voitures,voitures_declarees!L:L,0,0)) * N103 ) / 1000</f>
        <v>52.933151087453588</v>
      </c>
    </row>
    <row r="104" spans="1:19" x14ac:dyDescent="0.2">
      <c r="A104">
        <v>7175</v>
      </c>
      <c r="B104">
        <v>2764</v>
      </c>
      <c r="C104" s="3">
        <v>46329</v>
      </c>
      <c r="D104" s="3">
        <v>46335</v>
      </c>
      <c r="E104" t="s">
        <v>113</v>
      </c>
      <c r="F104" t="s">
        <v>78</v>
      </c>
      <c r="G104" s="5">
        <v>102.96</v>
      </c>
      <c r="H104" t="s">
        <v>79</v>
      </c>
      <c r="J104">
        <f t="shared" si="2"/>
        <v>5</v>
      </c>
      <c r="K104" t="str">
        <f>_xlfn.XLOOKUP($B104,Num_Projet,Projets!B:B,"Inexistant",0)</f>
        <v>MARCO</v>
      </c>
      <c r="L104" t="str">
        <f>_xlfn.XLOOKUP($B104,Num_Projet,Projets!C:C,"Inexistant",0)</f>
        <v>transformation digital</v>
      </c>
      <c r="M104" t="str">
        <f>_xlfn.XLOOKUP($B104,Num_Projet,Projets!D:D,"Inexistant",0)</f>
        <v>Banque Invest</v>
      </c>
      <c r="N104" s="6">
        <f>_xlfn.XLOOKUP(E104,nom_commune,villes_clients!E:E)*2</f>
        <v>959.88687124935257</v>
      </c>
      <c r="O104" s="5">
        <f>IF(F104="train",G104,_xlfn.XLOOKUP(B104,Num_Projet,Projets!G:G,0,0)*N104)</f>
        <v>102.96</v>
      </c>
      <c r="P104" s="5">
        <f>_xlfn.XLOOKUP(_xlfn.XLOOKUP(E104,nom_commune,villes_clients!D:D,0,0),Seuil_population,Nuitée,0,1) * J104</f>
        <v>250</v>
      </c>
      <c r="Q104" s="5">
        <f>_xlfn.XLOOKUP( _xlfn.CONCAT(A104,"-",_xlfn.XLOOKUP(A104,Matr,Consultants!E:E) ),Dernier_contrat,Contrats!D:D,0,0) * IF(J104&gt;0,J104,1)</f>
        <v>660</v>
      </c>
      <c r="R104" s="44">
        <f t="shared" si="3"/>
        <v>1012.96</v>
      </c>
      <c r="S104" s="6">
        <f>( IF(F104="train", CO2_Train, _xlfn.XLOOKUP(I104,Immat_voitures,voitures_declarees!L:L,0,0)) * N104 ) / 1000</f>
        <v>1.9197737424987051</v>
      </c>
    </row>
    <row r="105" spans="1:19" x14ac:dyDescent="0.2">
      <c r="A105">
        <v>3772</v>
      </c>
      <c r="B105">
        <v>8140</v>
      </c>
      <c r="C105" s="3">
        <v>46330</v>
      </c>
      <c r="D105" s="3">
        <v>46343</v>
      </c>
      <c r="E105" t="s">
        <v>127</v>
      </c>
      <c r="F105" t="s">
        <v>82</v>
      </c>
      <c r="H105" t="s">
        <v>79</v>
      </c>
      <c r="I105" s="49" t="s">
        <v>86</v>
      </c>
      <c r="J105">
        <f t="shared" si="2"/>
        <v>9</v>
      </c>
      <c r="K105" t="str">
        <f>_xlfn.XLOOKUP($B105,Num_Projet,Projets!B:B,"Inexistant",0)</f>
        <v>Beta</v>
      </c>
      <c r="L105" t="str">
        <f>_xlfn.XLOOKUP($B105,Num_Projet,Projets!C:C,"Inexistant",0)</f>
        <v>systèmes d'information</v>
      </c>
      <c r="M105" t="str">
        <f>_xlfn.XLOOKUP($B105,Num_Projet,Projets!D:D,"Inexistant",0)</f>
        <v>Société AHT</v>
      </c>
      <c r="N105" s="6">
        <f>_xlfn.XLOOKUP(E105,nom_commune,villes_clients!E:E)*2</f>
        <v>28.398104953178237</v>
      </c>
      <c r="O105" s="5">
        <f>IF(F105="train",G105,_xlfn.XLOOKUP(B105,Num_Projet,Projets!G:G,0,0)*N105)</f>
        <v>223.20910493198096</v>
      </c>
      <c r="P105" s="5">
        <f>_xlfn.XLOOKUP(_xlfn.XLOOKUP(E105,nom_commune,villes_clients!D:D,0,0),Seuil_population,Nuitée,0,1) * J105</f>
        <v>450</v>
      </c>
      <c r="Q105" s="5">
        <f>_xlfn.XLOOKUP( _xlfn.CONCAT(A105,"-",_xlfn.XLOOKUP(A105,Matr,Consultants!E:E) ),Dernier_contrat,Contrats!D:D,0,0) * IF(J105&gt;0,J105,1)</f>
        <v>1845</v>
      </c>
      <c r="R105" s="44">
        <f t="shared" si="3"/>
        <v>2518.2091049319811</v>
      </c>
      <c r="S105" s="6">
        <f>( IF(F105="train", CO2_Train, _xlfn.XLOOKUP(I105,Immat_voitures,voitures_declarees!L:L,0,0)) * N105 ) / 1000</f>
        <v>6.7303508739032418</v>
      </c>
    </row>
    <row r="106" spans="1:19" x14ac:dyDescent="0.2">
      <c r="A106">
        <v>4751</v>
      </c>
      <c r="B106">
        <v>8140</v>
      </c>
      <c r="C106" s="3">
        <v>46331</v>
      </c>
      <c r="D106" s="3">
        <v>46333</v>
      </c>
      <c r="E106" t="s">
        <v>124</v>
      </c>
      <c r="F106" t="s">
        <v>82</v>
      </c>
      <c r="H106" t="s">
        <v>85</v>
      </c>
      <c r="I106" s="49" t="s">
        <v>88</v>
      </c>
      <c r="J106">
        <f t="shared" si="2"/>
        <v>2</v>
      </c>
      <c r="K106" t="str">
        <f>_xlfn.XLOOKUP($B106,Num_Projet,Projets!B:B,"Inexistant",0)</f>
        <v>Beta</v>
      </c>
      <c r="L106" t="str">
        <f>_xlfn.XLOOKUP($B106,Num_Projet,Projets!C:C,"Inexistant",0)</f>
        <v>systèmes d'information</v>
      </c>
      <c r="M106" t="str">
        <f>_xlfn.XLOOKUP($B106,Num_Projet,Projets!D:D,"Inexistant",0)</f>
        <v>Société AHT</v>
      </c>
      <c r="N106" s="6">
        <f>_xlfn.XLOOKUP(E106,nom_commune,villes_clients!E:E)*2</f>
        <v>27.114626034068944</v>
      </c>
      <c r="O106" s="5">
        <f>IF(F106="train",G106,_xlfn.XLOOKUP(B106,Num_Projet,Projets!G:G,0,0)*N106)</f>
        <v>213.12096062778193</v>
      </c>
      <c r="P106" s="5">
        <f>_xlfn.XLOOKUP(_xlfn.XLOOKUP(E106,nom_commune,villes_clients!D:D,0,0),Seuil_population,Nuitée,0,1) * J106</f>
        <v>100</v>
      </c>
      <c r="Q106" s="5">
        <f>_xlfn.XLOOKUP( _xlfn.CONCAT(A106,"-",_xlfn.XLOOKUP(A106,Matr,Consultants!E:E) ),Dernier_contrat,Contrats!D:D,0,0) * IF(J106&gt;0,J106,1)</f>
        <v>292</v>
      </c>
      <c r="R106" s="44">
        <f t="shared" si="3"/>
        <v>526.84072047083646</v>
      </c>
      <c r="S106" s="6">
        <f>( IF(F106="train", CO2_Train, _xlfn.XLOOKUP(I106,Immat_voitures,voitures_declarees!L:L,0,0)) * N106 ) / 1000</f>
        <v>2.982608863747584</v>
      </c>
    </row>
    <row r="107" spans="1:19" x14ac:dyDescent="0.2">
      <c r="A107">
        <v>1435</v>
      </c>
      <c r="B107">
        <v>5674</v>
      </c>
      <c r="C107" s="3">
        <v>46332</v>
      </c>
      <c r="D107" s="3">
        <v>46343</v>
      </c>
      <c r="E107" t="s">
        <v>116</v>
      </c>
      <c r="F107" t="s">
        <v>78</v>
      </c>
      <c r="G107" s="5">
        <v>115.06</v>
      </c>
      <c r="H107" t="s">
        <v>79</v>
      </c>
      <c r="J107">
        <f t="shared" si="2"/>
        <v>7</v>
      </c>
      <c r="K107" t="str">
        <f>_xlfn.XLOOKUP($B107,Num_Projet,Projets!B:B,"Inexistant",0)</f>
        <v>SuiviConso</v>
      </c>
      <c r="L107" t="str">
        <f>_xlfn.XLOOKUP($B107,Num_Projet,Projets!C:C,"Inexistant",0)</f>
        <v>gouvernance</v>
      </c>
      <c r="M107" t="str">
        <f>_xlfn.XLOOKUP($B107,Num_Projet,Projets!D:D,"Inexistant",0)</f>
        <v>Banque Invest</v>
      </c>
      <c r="N107" s="6">
        <f>_xlfn.XLOOKUP(E107,nom_commune,villes_clients!E:E)*2</f>
        <v>430.97127785734853</v>
      </c>
      <c r="O107" s="5">
        <f>IF(F107="train",G107,_xlfn.XLOOKUP(B107,Num_Projet,Projets!G:G,0,0)*N107)</f>
        <v>115.06</v>
      </c>
      <c r="P107" s="5">
        <f>_xlfn.XLOOKUP(_xlfn.XLOOKUP(E107,nom_commune,villes_clients!D:D,0,0),Seuil_population,Nuitée,0,1) * J107</f>
        <v>525</v>
      </c>
      <c r="Q107" s="5">
        <f>_xlfn.XLOOKUP( _xlfn.CONCAT(A107,"-",_xlfn.XLOOKUP(A107,Matr,Consultants!E:E) ),Dernier_contrat,Contrats!D:D,0,0) * IF(J107&gt;0,J107,1)</f>
        <v>749</v>
      </c>
      <c r="R107" s="44">
        <f t="shared" si="3"/>
        <v>1389.06</v>
      </c>
      <c r="S107" s="6">
        <f>( IF(F107="train", CO2_Train, _xlfn.XLOOKUP(I107,Immat_voitures,voitures_declarees!L:L,0,0)) * N107 ) / 1000</f>
        <v>0.86194255571469702</v>
      </c>
    </row>
    <row r="108" spans="1:19" x14ac:dyDescent="0.2">
      <c r="A108">
        <v>8195</v>
      </c>
      <c r="B108">
        <v>4641</v>
      </c>
      <c r="C108" s="3">
        <v>46332</v>
      </c>
      <c r="D108" s="3">
        <v>46334</v>
      </c>
      <c r="E108" t="s">
        <v>124</v>
      </c>
      <c r="F108" t="s">
        <v>82</v>
      </c>
      <c r="H108" t="s">
        <v>79</v>
      </c>
      <c r="I108" s="49" t="s">
        <v>90</v>
      </c>
      <c r="J108">
        <f t="shared" si="2"/>
        <v>1</v>
      </c>
      <c r="K108" t="str">
        <f>_xlfn.XLOOKUP($B108,Num_Projet,Projets!B:B,"Inexistant",0)</f>
        <v>Arche</v>
      </c>
      <c r="L108" t="str">
        <f>_xlfn.XLOOKUP($B108,Num_Projet,Projets!C:C,"Inexistant",0)</f>
        <v>systèmes d'information</v>
      </c>
      <c r="M108" t="str">
        <f>_xlfn.XLOOKUP($B108,Num_Projet,Projets!D:D,"Inexistant",0)</f>
        <v>Banque Invest</v>
      </c>
      <c r="N108" s="6">
        <f>_xlfn.XLOOKUP(E108,nom_commune,villes_clients!E:E)*2</f>
        <v>27.114626034068944</v>
      </c>
      <c r="O108" s="5">
        <f>IF(F108="train",G108,_xlfn.XLOOKUP(B108,Num_Projet,Projets!G:G,0,0)*N108)</f>
        <v>311.27590687111149</v>
      </c>
      <c r="P108" s="5">
        <f>_xlfn.XLOOKUP(_xlfn.XLOOKUP(E108,nom_commune,villes_clients!D:D,0,0),Seuil_population,Nuitée,0,1) * J108</f>
        <v>50</v>
      </c>
      <c r="Q108" s="5">
        <f>_xlfn.XLOOKUP( _xlfn.CONCAT(A108,"-",_xlfn.XLOOKUP(A108,Matr,Consultants!E:E) ),Dernier_contrat,Contrats!D:D,0,0) * IF(J108&gt;0,J108,1)</f>
        <v>127</v>
      </c>
      <c r="R108" s="44">
        <f t="shared" si="3"/>
        <v>488.27590687111149</v>
      </c>
      <c r="S108" s="6">
        <f>( IF(F108="train", CO2_Train, _xlfn.XLOOKUP(I108,Immat_voitures,voitures_declarees!L:L,0,0)) * N108 ) / 1000</f>
        <v>8.0259293060844072</v>
      </c>
    </row>
    <row r="109" spans="1:19" x14ac:dyDescent="0.2">
      <c r="A109">
        <v>4744</v>
      </c>
      <c r="B109">
        <v>3987</v>
      </c>
      <c r="C109" s="3">
        <v>46334</v>
      </c>
      <c r="D109" s="3">
        <v>46338</v>
      </c>
      <c r="E109" t="s">
        <v>171</v>
      </c>
      <c r="F109" t="s">
        <v>78</v>
      </c>
      <c r="G109" s="5">
        <v>227.32</v>
      </c>
      <c r="H109" t="s">
        <v>79</v>
      </c>
      <c r="J109">
        <f t="shared" si="2"/>
        <v>3</v>
      </c>
      <c r="K109" t="str">
        <f>_xlfn.XLOOKUP($B109,Num_Projet,Projets!B:B,"Inexistant",0)</f>
        <v>Gamma</v>
      </c>
      <c r="L109" t="str">
        <f>_xlfn.XLOOKUP($B109,Num_Projet,Projets!C:C,"Inexistant",0)</f>
        <v>gouvernance</v>
      </c>
      <c r="M109" t="str">
        <f>_xlfn.XLOOKUP($B109,Num_Projet,Projets!D:D,"Inexistant",0)</f>
        <v>Cooperative Muvuca</v>
      </c>
      <c r="N109" s="6">
        <f>_xlfn.XLOOKUP(E109,nom_commune,villes_clients!E:E)*2</f>
        <v>567.5087752446691</v>
      </c>
      <c r="O109" s="5">
        <f>IF(F109="train",G109,_xlfn.XLOOKUP(B109,Num_Projet,Projets!G:G,0,0)*N109)</f>
        <v>227.32</v>
      </c>
      <c r="P109" s="5">
        <f>_xlfn.XLOOKUP(_xlfn.XLOOKUP(E109,nom_commune,villes_clients!D:D,0,0),Seuil_population,Nuitée,0,1) * J109</f>
        <v>225</v>
      </c>
      <c r="Q109" s="5">
        <f>_xlfn.XLOOKUP( _xlfn.CONCAT(A109,"-",_xlfn.XLOOKUP(A109,Matr,Consultants!E:E) ),Dernier_contrat,Contrats!D:D,0,0) * IF(J109&gt;0,J109,1)</f>
        <v>381</v>
      </c>
      <c r="R109" s="44">
        <f t="shared" si="3"/>
        <v>833.31999999999994</v>
      </c>
      <c r="S109" s="6">
        <f>( IF(F109="train", CO2_Train, _xlfn.XLOOKUP(I109,Immat_voitures,voitures_declarees!L:L,0,0)) * N109 ) / 1000</f>
        <v>1.1350175504893383</v>
      </c>
    </row>
    <row r="110" spans="1:19" x14ac:dyDescent="0.2">
      <c r="A110">
        <v>5607</v>
      </c>
      <c r="B110">
        <v>5674</v>
      </c>
      <c r="C110" s="3">
        <v>46335</v>
      </c>
      <c r="D110" s="3">
        <v>46338</v>
      </c>
      <c r="E110" t="s">
        <v>124</v>
      </c>
      <c r="F110" t="s">
        <v>82</v>
      </c>
      <c r="H110" t="s">
        <v>85</v>
      </c>
      <c r="I110" s="49" t="s">
        <v>90</v>
      </c>
      <c r="J110">
        <f t="shared" si="2"/>
        <v>3</v>
      </c>
      <c r="K110" t="str">
        <f>_xlfn.XLOOKUP($B110,Num_Projet,Projets!B:B,"Inexistant",0)</f>
        <v>SuiviConso</v>
      </c>
      <c r="L110" t="str">
        <f>_xlfn.XLOOKUP($B110,Num_Projet,Projets!C:C,"Inexistant",0)</f>
        <v>gouvernance</v>
      </c>
      <c r="M110" t="str">
        <f>_xlfn.XLOOKUP($B110,Num_Projet,Projets!D:D,"Inexistant",0)</f>
        <v>Banque Invest</v>
      </c>
      <c r="N110" s="6">
        <f>_xlfn.XLOOKUP(E110,nom_commune,villes_clients!E:E)*2</f>
        <v>27.114626034068944</v>
      </c>
      <c r="O110" s="5">
        <f>IF(F110="train",G110,_xlfn.XLOOKUP(B110,Num_Projet,Projets!G:G,0,0)*N110)</f>
        <v>312.36049191247423</v>
      </c>
      <c r="P110" s="5">
        <f>_xlfn.XLOOKUP(_xlfn.XLOOKUP(E110,nom_commune,villes_clients!D:D,0,0),Seuil_population,Nuitée,0,1) * J110</f>
        <v>150</v>
      </c>
      <c r="Q110" s="5">
        <f>_xlfn.XLOOKUP( _xlfn.CONCAT(A110,"-",_xlfn.XLOOKUP(A110,Matr,Consultants!E:E) ),Dernier_contrat,Contrats!D:D,0,0) * IF(J110&gt;0,J110,1)</f>
        <v>312</v>
      </c>
      <c r="R110" s="44">
        <f t="shared" si="3"/>
        <v>658.7703689343557</v>
      </c>
      <c r="S110" s="6">
        <f>( IF(F110="train", CO2_Train, _xlfn.XLOOKUP(I110,Immat_voitures,voitures_declarees!L:L,0,0)) * N110 ) / 1000</f>
        <v>8.0259293060844072</v>
      </c>
    </row>
    <row r="111" spans="1:19" x14ac:dyDescent="0.2">
      <c r="A111">
        <v>4641</v>
      </c>
      <c r="B111">
        <v>4641</v>
      </c>
      <c r="C111" s="3">
        <v>46335</v>
      </c>
      <c r="D111" s="3">
        <v>46344</v>
      </c>
      <c r="E111" t="s">
        <v>130</v>
      </c>
      <c r="F111" t="s">
        <v>82</v>
      </c>
      <c r="H111" t="s">
        <v>85</v>
      </c>
      <c r="I111" s="49" t="s">
        <v>88</v>
      </c>
      <c r="J111">
        <f t="shared" si="2"/>
        <v>7</v>
      </c>
      <c r="K111" t="str">
        <f>_xlfn.XLOOKUP($B111,Num_Projet,Projets!B:B,"Inexistant",0)</f>
        <v>Arche</v>
      </c>
      <c r="L111" t="str">
        <f>_xlfn.XLOOKUP($B111,Num_Projet,Projets!C:C,"Inexistant",0)</f>
        <v>systèmes d'information</v>
      </c>
      <c r="M111" t="str">
        <f>_xlfn.XLOOKUP($B111,Num_Projet,Projets!D:D,"Inexistant",0)</f>
        <v>Banque Invest</v>
      </c>
      <c r="N111" s="6">
        <f>_xlfn.XLOOKUP(E111,nom_commune,villes_clients!E:E)*2</f>
        <v>178.50434280757426</v>
      </c>
      <c r="O111" s="5">
        <f>IF(F111="train",G111,_xlfn.XLOOKUP(B111,Num_Projet,Projets!G:G,0,0)*N111)</f>
        <v>2049.2298554309527</v>
      </c>
      <c r="P111" s="5">
        <f>_xlfn.XLOOKUP(_xlfn.XLOOKUP(E111,nom_commune,villes_clients!D:D,0,0),Seuil_population,Nuitée,0,1) * J111</f>
        <v>350</v>
      </c>
      <c r="Q111" s="5">
        <f>_xlfn.XLOOKUP( _xlfn.CONCAT(A111,"-",_xlfn.XLOOKUP(A111,Matr,Consultants!E:E) ),Dernier_contrat,Contrats!D:D,0,0) * IF(J111&gt;0,J111,1)</f>
        <v>959</v>
      </c>
      <c r="R111" s="44">
        <f t="shared" si="3"/>
        <v>2758.4223915732146</v>
      </c>
      <c r="S111" s="6">
        <f>( IF(F111="train", CO2_Train, _xlfn.XLOOKUP(I111,Immat_voitures,voitures_declarees!L:L,0,0)) * N111 ) / 1000</f>
        <v>19.635477708833168</v>
      </c>
    </row>
    <row r="112" spans="1:19" x14ac:dyDescent="0.2">
      <c r="A112">
        <v>8988</v>
      </c>
      <c r="B112">
        <v>6665</v>
      </c>
      <c r="C112" s="3">
        <v>46335</v>
      </c>
      <c r="D112" s="3">
        <v>46345</v>
      </c>
      <c r="E112" t="s">
        <v>154</v>
      </c>
      <c r="F112" t="s">
        <v>82</v>
      </c>
      <c r="H112" t="s">
        <v>79</v>
      </c>
      <c r="I112" s="49" t="s">
        <v>90</v>
      </c>
      <c r="J112">
        <f t="shared" si="2"/>
        <v>8</v>
      </c>
      <c r="K112" t="str">
        <f>_xlfn.XLOOKUP($B112,Num_Projet,Projets!B:B,"Inexistant",0)</f>
        <v>Orion</v>
      </c>
      <c r="L112" t="str">
        <f>_xlfn.XLOOKUP($B112,Num_Projet,Projets!C:C,"Inexistant",0)</f>
        <v>gouvernance</v>
      </c>
      <c r="M112" t="str">
        <f>_xlfn.XLOOKUP($B112,Num_Projet,Projets!D:D,"Inexistant",0)</f>
        <v>Industries Nova Tech</v>
      </c>
      <c r="N112" s="6">
        <f>_xlfn.XLOOKUP(E112,nom_commune,villes_clients!E:E)*2</f>
        <v>57.50657668707499</v>
      </c>
      <c r="O112" s="5">
        <f>IF(F112="train",G112,_xlfn.XLOOKUP(B112,Num_Projet,Projets!G:G,0,0)*N112)</f>
        <v>683.75319680932171</v>
      </c>
      <c r="P112" s="5">
        <f>_xlfn.XLOOKUP(_xlfn.XLOOKUP(E112,nom_commune,villes_clients!D:D,0,0),Seuil_population,Nuitée,0,1) * J112</f>
        <v>400</v>
      </c>
      <c r="Q112" s="5">
        <f>_xlfn.XLOOKUP( _xlfn.CONCAT(A112,"-",_xlfn.XLOOKUP(A112,Matr,Consultants!E:E) ),Dernier_contrat,Contrats!D:D,0,0) * IF(J112&gt;0,J112,1)</f>
        <v>1584</v>
      </c>
      <c r="R112" s="44">
        <f t="shared" si="3"/>
        <v>2667.7531968093217</v>
      </c>
      <c r="S112" s="6">
        <f>( IF(F112="train", CO2_Train, _xlfn.XLOOKUP(I112,Immat_voitures,voitures_declarees!L:L,0,0)) * N112 ) / 1000</f>
        <v>17.021946699374194</v>
      </c>
    </row>
    <row r="113" spans="1:19" x14ac:dyDescent="0.2">
      <c r="A113">
        <v>5211</v>
      </c>
      <c r="B113">
        <v>2764</v>
      </c>
      <c r="C113" s="3">
        <v>46336</v>
      </c>
      <c r="D113" s="3">
        <v>46347</v>
      </c>
      <c r="E113" t="s">
        <v>155</v>
      </c>
      <c r="F113" t="s">
        <v>78</v>
      </c>
      <c r="G113" s="5">
        <v>108.91</v>
      </c>
      <c r="H113" t="s">
        <v>85</v>
      </c>
      <c r="J113">
        <f t="shared" si="2"/>
        <v>8</v>
      </c>
      <c r="K113" t="str">
        <f>_xlfn.XLOOKUP($B113,Num_Projet,Projets!B:B,"Inexistant",0)</f>
        <v>MARCO</v>
      </c>
      <c r="L113" t="str">
        <f>_xlfn.XLOOKUP($B113,Num_Projet,Projets!C:C,"Inexistant",0)</f>
        <v>transformation digital</v>
      </c>
      <c r="M113" t="str">
        <f>_xlfn.XLOOKUP($B113,Num_Projet,Projets!D:D,"Inexistant",0)</f>
        <v>Banque Invest</v>
      </c>
      <c r="N113" s="6">
        <f>_xlfn.XLOOKUP(E113,nom_commune,villes_clients!E:E)*2</f>
        <v>222.4714022436518</v>
      </c>
      <c r="O113" s="5">
        <f>IF(F113="train",G113,_xlfn.XLOOKUP(B113,Num_Projet,Projets!G:G,0,0)*N113)</f>
        <v>108.91</v>
      </c>
      <c r="P113" s="5">
        <f>_xlfn.XLOOKUP(_xlfn.XLOOKUP(E113,nom_commune,villes_clients!D:D,0,0),Seuil_population,Nuitée,0,1) * J113</f>
        <v>600</v>
      </c>
      <c r="Q113" s="5">
        <f>_xlfn.XLOOKUP( _xlfn.CONCAT(A113,"-",_xlfn.XLOOKUP(A113,Matr,Consultants!E:E) ),Dernier_contrat,Contrats!D:D,0,0) * IF(J113&gt;0,J113,1)</f>
        <v>1416</v>
      </c>
      <c r="R113" s="44">
        <f t="shared" si="3"/>
        <v>1947.6824999999999</v>
      </c>
      <c r="S113" s="6">
        <f>( IF(F113="train", CO2_Train, _xlfn.XLOOKUP(I113,Immat_voitures,voitures_declarees!L:L,0,0)) * N113 ) / 1000</f>
        <v>0.44494280448730361</v>
      </c>
    </row>
    <row r="114" spans="1:19" x14ac:dyDescent="0.2">
      <c r="A114">
        <v>3582</v>
      </c>
      <c r="B114">
        <v>3850</v>
      </c>
      <c r="C114" s="3">
        <v>46336</v>
      </c>
      <c r="D114" s="3">
        <v>46348</v>
      </c>
      <c r="E114" t="s">
        <v>84</v>
      </c>
      <c r="F114" t="s">
        <v>78</v>
      </c>
      <c r="G114" s="5">
        <v>138.21</v>
      </c>
      <c r="H114" t="s">
        <v>85</v>
      </c>
      <c r="J114">
        <f t="shared" si="2"/>
        <v>8</v>
      </c>
      <c r="K114" t="str">
        <f>_xlfn.XLOOKUP($B114,Num_Projet,Projets!B:B,"Inexistant",0)</f>
        <v>Hercules</v>
      </c>
      <c r="L114" t="str">
        <f>_xlfn.XLOOKUP($B114,Num_Projet,Projets!C:C,"Inexistant",0)</f>
        <v>cybersécurité</v>
      </c>
      <c r="M114" t="str">
        <f>_xlfn.XLOOKUP($B114,Num_Projet,Projets!D:D,"Inexistant",0)</f>
        <v>Société AHT</v>
      </c>
      <c r="N114" s="6">
        <f>_xlfn.XLOOKUP(E114,nom_commune,villes_clients!E:E)*2</f>
        <v>397.6709091109758</v>
      </c>
      <c r="O114" s="5">
        <f>IF(F114="train",G114,_xlfn.XLOOKUP(B114,Num_Projet,Projets!G:G,0,0)*N114)</f>
        <v>138.21</v>
      </c>
      <c r="P114" s="5">
        <f>_xlfn.XLOOKUP(_xlfn.XLOOKUP(E114,nom_commune,villes_clients!D:D,0,0),Seuil_population,Nuitée,0,1) * J114</f>
        <v>400</v>
      </c>
      <c r="Q114" s="5">
        <f>_xlfn.XLOOKUP( _xlfn.CONCAT(A114,"-",_xlfn.XLOOKUP(A114,Matr,Consultants!E:E) ),Dernier_contrat,Contrats!D:D,0,0) * IF(J114&gt;0,J114,1)</f>
        <v>672</v>
      </c>
      <c r="R114" s="44">
        <f t="shared" si="3"/>
        <v>1075.6575</v>
      </c>
      <c r="S114" s="6">
        <f>( IF(F114="train", CO2_Train, _xlfn.XLOOKUP(I114,Immat_voitures,voitures_declarees!L:L,0,0)) * N114 ) / 1000</f>
        <v>0.7953418182219516</v>
      </c>
    </row>
    <row r="115" spans="1:19" x14ac:dyDescent="0.2">
      <c r="A115">
        <v>7954</v>
      </c>
      <c r="B115">
        <v>7371</v>
      </c>
      <c r="C115" s="3">
        <v>46337</v>
      </c>
      <c r="D115" s="3">
        <v>46337</v>
      </c>
      <c r="E115" t="s">
        <v>110</v>
      </c>
      <c r="F115" t="s">
        <v>78</v>
      </c>
      <c r="G115" s="5">
        <v>230.59</v>
      </c>
      <c r="H115" t="s">
        <v>85</v>
      </c>
      <c r="J115">
        <f t="shared" si="2"/>
        <v>0</v>
      </c>
      <c r="K115" t="str">
        <f>_xlfn.XLOOKUP($B115,Num_Projet,Projets!B:B,"Inexistant",0)</f>
        <v>Infra2</v>
      </c>
      <c r="L115" t="str">
        <f>_xlfn.XLOOKUP($B115,Num_Projet,Projets!C:C,"Inexistant",0)</f>
        <v>cybersécurité</v>
      </c>
      <c r="M115" t="str">
        <f>_xlfn.XLOOKUP($B115,Num_Projet,Projets!D:D,"Inexistant",0)</f>
        <v>Société AHT</v>
      </c>
      <c r="N115" s="6">
        <f>_xlfn.XLOOKUP(E115,nom_commune,villes_clients!E:E)*2</f>
        <v>410.92880972718422</v>
      </c>
      <c r="O115" s="5">
        <f>IF(F115="train",G115,_xlfn.XLOOKUP(B115,Num_Projet,Projets!G:G,0,0)*N115)</f>
        <v>230.59</v>
      </c>
      <c r="P115" s="5">
        <f>_xlfn.XLOOKUP(_xlfn.XLOOKUP(E115,nom_commune,villes_clients!D:D,0,0),Seuil_population,Nuitée,0,1) * J115</f>
        <v>0</v>
      </c>
      <c r="Q115" s="5">
        <f>_xlfn.XLOOKUP( _xlfn.CONCAT(A115,"-",_xlfn.XLOOKUP(A115,Matr,Consultants!E:E) ),Dernier_contrat,Contrats!D:D,0,0) * IF(J115&gt;0,J115,1)</f>
        <v>115</v>
      </c>
      <c r="R115" s="44">
        <f t="shared" si="3"/>
        <v>287.9425</v>
      </c>
      <c r="S115" s="6">
        <f>( IF(F115="train", CO2_Train, _xlfn.XLOOKUP(I115,Immat_voitures,voitures_declarees!L:L,0,0)) * N115 ) / 1000</f>
        <v>0.82185761945436842</v>
      </c>
    </row>
    <row r="116" spans="1:19" x14ac:dyDescent="0.2">
      <c r="A116">
        <v>8810</v>
      </c>
      <c r="B116">
        <v>9256</v>
      </c>
      <c r="C116" s="3">
        <v>46337</v>
      </c>
      <c r="D116" s="3">
        <v>46347</v>
      </c>
      <c r="E116" t="s">
        <v>133</v>
      </c>
      <c r="F116" t="s">
        <v>82</v>
      </c>
      <c r="H116" t="s">
        <v>79</v>
      </c>
      <c r="I116" s="49" t="s">
        <v>102</v>
      </c>
      <c r="J116">
        <f t="shared" si="2"/>
        <v>7</v>
      </c>
      <c r="K116" t="str">
        <f>_xlfn.XLOOKUP($B116,Num_Projet,Projets!B:B,"Inexistant",0)</f>
        <v>Log2030</v>
      </c>
      <c r="L116" t="str">
        <f>_xlfn.XLOOKUP($B116,Num_Projet,Projets!C:C,"Inexistant",0)</f>
        <v>gouvernance</v>
      </c>
      <c r="M116" t="str">
        <f>_xlfn.XLOOKUP($B116,Num_Projet,Projets!D:D,"Inexistant",0)</f>
        <v>Banque Invest</v>
      </c>
      <c r="N116" s="6">
        <f>_xlfn.XLOOKUP(E116,nom_commune,villes_clients!E:E)*2</f>
        <v>20.412162969195503</v>
      </c>
      <c r="O116" s="5">
        <f>IF(F116="train",G116,_xlfn.XLOOKUP(B116,Num_Projet,Projets!G:G,0,0)*N116)</f>
        <v>134.7202755966903</v>
      </c>
      <c r="P116" s="5">
        <f>_xlfn.XLOOKUP(_xlfn.XLOOKUP(E116,nom_commune,villes_clients!D:D,0,0),Seuil_population,Nuitée,0,1) * J116</f>
        <v>525</v>
      </c>
      <c r="Q116" s="5">
        <f>_xlfn.XLOOKUP( _xlfn.CONCAT(A116,"-",_xlfn.XLOOKUP(A116,Matr,Consultants!E:E) ),Dernier_contrat,Contrats!D:D,0,0) * IF(J116&gt;0,J116,1)</f>
        <v>1309</v>
      </c>
      <c r="R116" s="44">
        <f t="shared" si="3"/>
        <v>1968.7202755966903</v>
      </c>
      <c r="S116" s="6">
        <f>( IF(F116="train", CO2_Train, _xlfn.XLOOKUP(I116,Immat_voitures,voitures_declarees!L:L,0,0)) * N116 ) / 1000</f>
        <v>4.1844934086850785</v>
      </c>
    </row>
    <row r="117" spans="1:19" x14ac:dyDescent="0.2">
      <c r="A117">
        <v>3542</v>
      </c>
      <c r="B117">
        <v>9018</v>
      </c>
      <c r="C117" s="3">
        <v>46341</v>
      </c>
      <c r="D117" s="3">
        <v>46342</v>
      </c>
      <c r="E117" t="s">
        <v>106</v>
      </c>
      <c r="F117" t="s">
        <v>82</v>
      </c>
      <c r="H117" t="s">
        <v>79</v>
      </c>
      <c r="I117" s="49" t="s">
        <v>107</v>
      </c>
      <c r="J117">
        <f t="shared" si="2"/>
        <v>1</v>
      </c>
      <c r="K117" t="str">
        <f>_xlfn.XLOOKUP($B117,Num_Projet,Projets!B:B,"Inexistant",0)</f>
        <v>Onix</v>
      </c>
      <c r="L117" t="str">
        <f>_xlfn.XLOOKUP($B117,Num_Projet,Projets!C:C,"Inexistant",0)</f>
        <v>systèmes d'information</v>
      </c>
      <c r="M117" t="str">
        <f>_xlfn.XLOOKUP($B117,Num_Projet,Projets!D:D,"Inexistant",0)</f>
        <v>Société AHT</v>
      </c>
      <c r="N117" s="6">
        <f>_xlfn.XLOOKUP(E117,nom_commune,villes_clients!E:E)*2</f>
        <v>13.088746396149698</v>
      </c>
      <c r="O117" s="5">
        <f>IF(F117="train",G117,_xlfn.XLOOKUP(B117,Num_Projet,Projets!G:G,0,0)*N117)</f>
        <v>82.982652151589079</v>
      </c>
      <c r="P117" s="5">
        <f>_xlfn.XLOOKUP(_xlfn.XLOOKUP(E117,nom_commune,villes_clients!D:D,0,0),Seuil_population,Nuitée,0,1) * J117</f>
        <v>50</v>
      </c>
      <c r="Q117" s="5">
        <f>_xlfn.XLOOKUP( _xlfn.CONCAT(A117,"-",_xlfn.XLOOKUP(A117,Matr,Consultants!E:E) ),Dernier_contrat,Contrats!D:D,0,0) * IF(J117&gt;0,J117,1)</f>
        <v>147</v>
      </c>
      <c r="R117" s="44">
        <f t="shared" si="3"/>
        <v>279.98265215158909</v>
      </c>
      <c r="S117" s="6">
        <f>( IF(F117="train", CO2_Train, _xlfn.XLOOKUP(I117,Immat_voitures,voitures_declarees!L:L,0,0)) * N117 ) / 1000</f>
        <v>2.8009917287760353</v>
      </c>
    </row>
    <row r="118" spans="1:19" x14ac:dyDescent="0.2">
      <c r="A118">
        <v>3137</v>
      </c>
      <c r="B118">
        <v>9256</v>
      </c>
      <c r="C118" s="3">
        <v>46345</v>
      </c>
      <c r="D118" s="3">
        <v>46358</v>
      </c>
      <c r="E118" t="s">
        <v>89</v>
      </c>
      <c r="F118" t="s">
        <v>82</v>
      </c>
      <c r="H118" t="s">
        <v>79</v>
      </c>
      <c r="I118" s="49" t="s">
        <v>90</v>
      </c>
      <c r="J118">
        <f t="shared" si="2"/>
        <v>10</v>
      </c>
      <c r="K118" t="str">
        <f>_xlfn.XLOOKUP($B118,Num_Projet,Projets!B:B,"Inexistant",0)</f>
        <v>Log2030</v>
      </c>
      <c r="L118" t="str">
        <f>_xlfn.XLOOKUP($B118,Num_Projet,Projets!C:C,"Inexistant",0)</f>
        <v>gouvernance</v>
      </c>
      <c r="M118" t="str">
        <f>_xlfn.XLOOKUP($B118,Num_Projet,Projets!D:D,"Inexistant",0)</f>
        <v>Banque Invest</v>
      </c>
      <c r="N118" s="6">
        <f>_xlfn.XLOOKUP(E118,nom_commune,villes_clients!E:E)*2</f>
        <v>823.6419507241809</v>
      </c>
      <c r="O118" s="5">
        <f>IF(F118="train",G118,_xlfn.XLOOKUP(B118,Num_Projet,Projets!G:G,0,0)*N118)</f>
        <v>5436.0368747795937</v>
      </c>
      <c r="P118" s="5">
        <f>_xlfn.XLOOKUP(_xlfn.XLOOKUP(E118,nom_commune,villes_clients!D:D,0,0),Seuil_population,Nuitée,0,1) * J118</f>
        <v>1000</v>
      </c>
      <c r="Q118" s="5">
        <f>_xlfn.XLOOKUP( _xlfn.CONCAT(A118,"-",_xlfn.XLOOKUP(A118,Matr,Consultants!E:E) ),Dernier_contrat,Contrats!D:D,0,0) * IF(J118&gt;0,J118,1)</f>
        <v>1960</v>
      </c>
      <c r="R118" s="44">
        <f t="shared" si="3"/>
        <v>8396.0368747795947</v>
      </c>
      <c r="S118" s="6">
        <f>( IF(F118="train", CO2_Train, _xlfn.XLOOKUP(I118,Immat_voitures,voitures_declarees!L:L,0,0)) * N118 ) / 1000</f>
        <v>243.79801741435753</v>
      </c>
    </row>
    <row r="119" spans="1:19" x14ac:dyDescent="0.2">
      <c r="A119">
        <v>7175</v>
      </c>
      <c r="B119">
        <v>8140</v>
      </c>
      <c r="C119" s="3">
        <v>46346</v>
      </c>
      <c r="D119" s="3">
        <v>46351</v>
      </c>
      <c r="E119" t="s">
        <v>103</v>
      </c>
      <c r="F119" t="s">
        <v>82</v>
      </c>
      <c r="H119" t="s">
        <v>85</v>
      </c>
      <c r="I119" s="49" t="s">
        <v>107</v>
      </c>
      <c r="J119">
        <f t="shared" si="2"/>
        <v>4</v>
      </c>
      <c r="K119" t="str">
        <f>_xlfn.XLOOKUP($B119,Num_Projet,Projets!B:B,"Inexistant",0)</f>
        <v>Beta</v>
      </c>
      <c r="L119" t="str">
        <f>_xlfn.XLOOKUP($B119,Num_Projet,Projets!C:C,"Inexistant",0)</f>
        <v>systèmes d'information</v>
      </c>
      <c r="M119" t="str">
        <f>_xlfn.XLOOKUP($B119,Num_Projet,Projets!D:D,"Inexistant",0)</f>
        <v>Société AHT</v>
      </c>
      <c r="N119" s="6">
        <f>_xlfn.XLOOKUP(E119,nom_commune,villes_clients!E:E)*2</f>
        <v>20.896295688641462</v>
      </c>
      <c r="O119" s="5">
        <f>IF(F119="train",G119,_xlfn.XLOOKUP(B119,Num_Projet,Projets!G:G,0,0)*N119)</f>
        <v>164.24488411272191</v>
      </c>
      <c r="P119" s="5">
        <f>_xlfn.XLOOKUP(_xlfn.XLOOKUP(E119,nom_commune,villes_clients!D:D,0,0),Seuil_population,Nuitée,0,1) * J119</f>
        <v>200</v>
      </c>
      <c r="Q119" s="5">
        <f>_xlfn.XLOOKUP( _xlfn.CONCAT(A119,"-",_xlfn.XLOOKUP(A119,Matr,Consultants!E:E) ),Dernier_contrat,Contrats!D:D,0,0) * IF(J119&gt;0,J119,1)</f>
        <v>528</v>
      </c>
      <c r="R119" s="44">
        <f t="shared" si="3"/>
        <v>801.18366308454142</v>
      </c>
      <c r="S119" s="6">
        <f>( IF(F119="train", CO2_Train, _xlfn.XLOOKUP(I119,Immat_voitures,voitures_declarees!L:L,0,0)) * N119 ) / 1000</f>
        <v>4.4718072773692725</v>
      </c>
    </row>
    <row r="120" spans="1:19" x14ac:dyDescent="0.2">
      <c r="A120">
        <v>7954</v>
      </c>
      <c r="B120">
        <v>9018</v>
      </c>
      <c r="C120" s="3">
        <v>46349</v>
      </c>
      <c r="D120" s="3">
        <v>46362</v>
      </c>
      <c r="E120" t="s">
        <v>115</v>
      </c>
      <c r="F120" t="s">
        <v>82</v>
      </c>
      <c r="H120" t="s">
        <v>85</v>
      </c>
      <c r="I120" s="49" t="s">
        <v>112</v>
      </c>
      <c r="J120">
        <f t="shared" si="2"/>
        <v>10</v>
      </c>
      <c r="K120" t="str">
        <f>_xlfn.XLOOKUP($B120,Num_Projet,Projets!B:B,"Inexistant",0)</f>
        <v>Onix</v>
      </c>
      <c r="L120" t="str">
        <f>_xlfn.XLOOKUP($B120,Num_Projet,Projets!C:C,"Inexistant",0)</f>
        <v>systèmes d'information</v>
      </c>
      <c r="M120" t="str">
        <f>_xlfn.XLOOKUP($B120,Num_Projet,Projets!D:D,"Inexistant",0)</f>
        <v>Société AHT</v>
      </c>
      <c r="N120" s="6">
        <f>_xlfn.XLOOKUP(E120,nom_commune,villes_clients!E:E)*2</f>
        <v>683.30734654703679</v>
      </c>
      <c r="O120" s="5">
        <f>IF(F120="train",G120,_xlfn.XLOOKUP(B120,Num_Projet,Projets!G:G,0,0)*N120)</f>
        <v>4332.168577108213</v>
      </c>
      <c r="P120" s="5">
        <f>_xlfn.XLOOKUP(_xlfn.XLOOKUP(E120,nom_commune,villes_clients!D:D,0,0),Seuil_population,Nuitée,0,1) * J120</f>
        <v>1000</v>
      </c>
      <c r="Q120" s="5">
        <f>_xlfn.XLOOKUP( _xlfn.CONCAT(A120,"-",_xlfn.XLOOKUP(A120,Matr,Consultants!E:E) ),Dernier_contrat,Contrats!D:D,0,0) * IF(J120&gt;0,J120,1)</f>
        <v>1150</v>
      </c>
      <c r="R120" s="44">
        <f t="shared" si="3"/>
        <v>5149.1264328311599</v>
      </c>
      <c r="S120" s="6">
        <f>( IF(F120="train", CO2_Train, _xlfn.XLOOKUP(I120,Immat_voitures,voitures_declarees!L:L,0,0)) * N120 ) / 1000</f>
        <v>70.380656694344779</v>
      </c>
    </row>
    <row r="121" spans="1:19" x14ac:dyDescent="0.2">
      <c r="A121">
        <v>8988</v>
      </c>
      <c r="B121">
        <v>3987</v>
      </c>
      <c r="C121" s="3">
        <v>46349</v>
      </c>
      <c r="D121" s="3">
        <v>46353</v>
      </c>
      <c r="E121" t="s">
        <v>103</v>
      </c>
      <c r="F121" t="s">
        <v>82</v>
      </c>
      <c r="H121" t="s">
        <v>79</v>
      </c>
      <c r="I121" s="49" t="s">
        <v>92</v>
      </c>
      <c r="J121">
        <f t="shared" si="2"/>
        <v>5</v>
      </c>
      <c r="K121" t="str">
        <f>_xlfn.XLOOKUP($B121,Num_Projet,Projets!B:B,"Inexistant",0)</f>
        <v>Gamma</v>
      </c>
      <c r="L121" t="str">
        <f>_xlfn.XLOOKUP($B121,Num_Projet,Projets!C:C,"Inexistant",0)</f>
        <v>gouvernance</v>
      </c>
      <c r="M121" t="str">
        <f>_xlfn.XLOOKUP($B121,Num_Projet,Projets!D:D,"Inexistant",0)</f>
        <v>Cooperative Muvuca</v>
      </c>
      <c r="N121" s="6">
        <f>_xlfn.XLOOKUP(E121,nom_commune,villes_clients!E:E)*2</f>
        <v>20.896295688641462</v>
      </c>
      <c r="O121" s="5">
        <f>IF(F121="train",G121,_xlfn.XLOOKUP(B121,Num_Projet,Projets!G:G,0,0)*N121)</f>
        <v>205.41058661934557</v>
      </c>
      <c r="P121" s="5">
        <f>_xlfn.XLOOKUP(_xlfn.XLOOKUP(E121,nom_commune,villes_clients!D:D,0,0),Seuil_population,Nuitée,0,1) * J121</f>
        <v>250</v>
      </c>
      <c r="Q121" s="5">
        <f>_xlfn.XLOOKUP( _xlfn.CONCAT(A121,"-",_xlfn.XLOOKUP(A121,Matr,Consultants!E:E) ),Dernier_contrat,Contrats!D:D,0,0) * IF(J121&gt;0,J121,1)</f>
        <v>990</v>
      </c>
      <c r="R121" s="44">
        <f t="shared" si="3"/>
        <v>1445.4105866193456</v>
      </c>
      <c r="S121" s="6">
        <f>( IF(F121="train", CO2_Train, _xlfn.XLOOKUP(I121,Immat_voitures,voitures_declarees!L:L,0,0)) * N121 ) / 1000</f>
        <v>3.2389258317394263</v>
      </c>
    </row>
    <row r="122" spans="1:19" x14ac:dyDescent="0.2">
      <c r="A122">
        <v>8810</v>
      </c>
      <c r="B122">
        <v>9437</v>
      </c>
      <c r="C122" s="3">
        <v>46350</v>
      </c>
      <c r="D122" s="3">
        <v>46364</v>
      </c>
      <c r="E122" t="s">
        <v>124</v>
      </c>
      <c r="F122" t="s">
        <v>82</v>
      </c>
      <c r="H122" t="s">
        <v>79</v>
      </c>
      <c r="I122" s="49" t="s">
        <v>102</v>
      </c>
      <c r="J122">
        <f t="shared" si="2"/>
        <v>11</v>
      </c>
      <c r="K122" t="str">
        <f>_xlfn.XLOOKUP($B122,Num_Projet,Projets!B:B,"Inexistant",0)</f>
        <v>E30</v>
      </c>
      <c r="L122" t="str">
        <f>_xlfn.XLOOKUP($B122,Num_Projet,Projets!C:C,"Inexistant",0)</f>
        <v>gouvernance</v>
      </c>
      <c r="M122" t="str">
        <f>_xlfn.XLOOKUP($B122,Num_Projet,Projets!D:D,"Inexistant",0)</f>
        <v>Cooperative Muvuca</v>
      </c>
      <c r="N122" s="6">
        <f>_xlfn.XLOOKUP(E122,nom_commune,villes_clients!E:E)*2</f>
        <v>27.114626034068944</v>
      </c>
      <c r="O122" s="5">
        <f>IF(F122="train",G122,_xlfn.XLOOKUP(B122,Num_Projet,Projets!G:G,0,0)*N122)</f>
        <v>187.90435841609778</v>
      </c>
      <c r="P122" s="5">
        <f>_xlfn.XLOOKUP(_xlfn.XLOOKUP(E122,nom_commune,villes_clients!D:D,0,0),Seuil_population,Nuitée,0,1) * J122</f>
        <v>550</v>
      </c>
      <c r="Q122" s="5">
        <f>_xlfn.XLOOKUP( _xlfn.CONCAT(A122,"-",_xlfn.XLOOKUP(A122,Matr,Consultants!E:E) ),Dernier_contrat,Contrats!D:D,0,0) * IF(J122&gt;0,J122,1)</f>
        <v>2057</v>
      </c>
      <c r="R122" s="44">
        <f t="shared" si="3"/>
        <v>2794.9043584160977</v>
      </c>
      <c r="S122" s="6">
        <f>( IF(F122="train", CO2_Train, _xlfn.XLOOKUP(I122,Immat_voitures,voitures_declarees!L:L,0,0)) * N122 ) / 1000</f>
        <v>5.5584983369841341</v>
      </c>
    </row>
    <row r="123" spans="1:19" x14ac:dyDescent="0.2">
      <c r="A123">
        <v>8195</v>
      </c>
      <c r="B123">
        <v>3394</v>
      </c>
      <c r="C123" s="3">
        <v>46350</v>
      </c>
      <c r="D123" s="3">
        <v>46357</v>
      </c>
      <c r="E123" t="s">
        <v>130</v>
      </c>
      <c r="F123" t="s">
        <v>82</v>
      </c>
      <c r="H123" t="s">
        <v>85</v>
      </c>
      <c r="I123" s="49" t="s">
        <v>90</v>
      </c>
      <c r="J123">
        <f t="shared" si="2"/>
        <v>6</v>
      </c>
      <c r="K123" t="str">
        <f>_xlfn.XLOOKUP($B123,Num_Projet,Projets!B:B,"Inexistant",0)</f>
        <v>NextGen</v>
      </c>
      <c r="L123" t="str">
        <f>_xlfn.XLOOKUP($B123,Num_Projet,Projets!C:C,"Inexistant",0)</f>
        <v>transformation digital</v>
      </c>
      <c r="M123" t="str">
        <f>_xlfn.XLOOKUP($B123,Num_Projet,Projets!D:D,"Inexistant",0)</f>
        <v>Cooperative Muvuca</v>
      </c>
      <c r="N123" s="6">
        <f>_xlfn.XLOOKUP(E123,nom_commune,villes_clients!E:E)*2</f>
        <v>178.50434280757426</v>
      </c>
      <c r="O123" s="5">
        <f>IF(F123="train",G123,_xlfn.XLOOKUP(B123,Num_Projet,Projets!G:G,0,0)*N123)</f>
        <v>1515.5018704363056</v>
      </c>
      <c r="P123" s="5">
        <f>_xlfn.XLOOKUP(_xlfn.XLOOKUP(E123,nom_commune,villes_clients!D:D,0,0),Seuil_population,Nuitée,0,1) * J123</f>
        <v>300</v>
      </c>
      <c r="Q123" s="5">
        <f>_xlfn.XLOOKUP( _xlfn.CONCAT(A123,"-",_xlfn.XLOOKUP(A123,Matr,Consultants!E:E) ),Dernier_contrat,Contrats!D:D,0,0) * IF(J123&gt;0,J123,1)</f>
        <v>762</v>
      </c>
      <c r="R123" s="44">
        <f t="shared" si="3"/>
        <v>2123.626402827229</v>
      </c>
      <c r="S123" s="6">
        <f>( IF(F123="train", CO2_Train, _xlfn.XLOOKUP(I123,Immat_voitures,voitures_declarees!L:L,0,0)) * N123 ) / 1000</f>
        <v>52.83728547104198</v>
      </c>
    </row>
    <row r="124" spans="1:19" x14ac:dyDescent="0.2">
      <c r="A124">
        <v>6423</v>
      </c>
      <c r="B124">
        <v>5674</v>
      </c>
      <c r="C124" s="3">
        <v>46351</v>
      </c>
      <c r="D124" s="3">
        <v>46366</v>
      </c>
      <c r="E124" t="s">
        <v>96</v>
      </c>
      <c r="F124" t="s">
        <v>82</v>
      </c>
      <c r="H124" t="s">
        <v>79</v>
      </c>
      <c r="I124" s="49" t="s">
        <v>102</v>
      </c>
      <c r="J124">
        <f t="shared" si="2"/>
        <v>12</v>
      </c>
      <c r="K124" t="str">
        <f>_xlfn.XLOOKUP($B124,Num_Projet,Projets!B:B,"Inexistant",0)</f>
        <v>SuiviConso</v>
      </c>
      <c r="L124" t="str">
        <f>_xlfn.XLOOKUP($B124,Num_Projet,Projets!C:C,"Inexistant",0)</f>
        <v>gouvernance</v>
      </c>
      <c r="M124" t="str">
        <f>_xlfn.XLOOKUP($B124,Num_Projet,Projets!D:D,"Inexistant",0)</f>
        <v>Banque Invest</v>
      </c>
      <c r="N124" s="6">
        <f>_xlfn.XLOOKUP(E124,nom_commune,villes_clients!E:E)*2</f>
        <v>29.536377804270522</v>
      </c>
      <c r="O124" s="5">
        <f>IF(F124="train",G124,_xlfn.XLOOKUP(B124,Num_Projet,Projets!G:G,0,0)*N124)</f>
        <v>340.25907230519641</v>
      </c>
      <c r="P124" s="5">
        <f>_xlfn.XLOOKUP(_xlfn.XLOOKUP(E124,nom_commune,villes_clients!D:D,0,0),Seuil_population,Nuitée,0,1) * J124</f>
        <v>900</v>
      </c>
      <c r="Q124" s="5">
        <f>_xlfn.XLOOKUP( _xlfn.CONCAT(A124,"-",_xlfn.XLOOKUP(A124,Matr,Consultants!E:E) ),Dernier_contrat,Contrats!D:D,0,0) * IF(J124&gt;0,J124,1)</f>
        <v>2508</v>
      </c>
      <c r="R124" s="44">
        <f t="shared" si="3"/>
        <v>3748.2590723051962</v>
      </c>
      <c r="S124" s="6">
        <f>( IF(F124="train", CO2_Train, _xlfn.XLOOKUP(I124,Immat_voitures,voitures_declarees!L:L,0,0)) * N124 ) / 1000</f>
        <v>6.0549574498754577</v>
      </c>
    </row>
    <row r="125" spans="1:19" x14ac:dyDescent="0.2">
      <c r="A125">
        <v>4751</v>
      </c>
      <c r="B125">
        <v>3394</v>
      </c>
      <c r="C125" s="3">
        <v>46351</v>
      </c>
      <c r="D125" s="3">
        <v>46364</v>
      </c>
      <c r="E125" t="s">
        <v>125</v>
      </c>
      <c r="F125" t="s">
        <v>82</v>
      </c>
      <c r="H125" t="s">
        <v>85</v>
      </c>
      <c r="I125" s="49" t="s">
        <v>92</v>
      </c>
      <c r="J125">
        <f t="shared" si="2"/>
        <v>10</v>
      </c>
      <c r="K125" t="str">
        <f>_xlfn.XLOOKUP($B125,Num_Projet,Projets!B:B,"Inexistant",0)</f>
        <v>NextGen</v>
      </c>
      <c r="L125" t="str">
        <f>_xlfn.XLOOKUP($B125,Num_Projet,Projets!C:C,"Inexistant",0)</f>
        <v>transformation digital</v>
      </c>
      <c r="M125" t="str">
        <f>_xlfn.XLOOKUP($B125,Num_Projet,Projets!D:D,"Inexistant",0)</f>
        <v>Cooperative Muvuca</v>
      </c>
      <c r="N125" s="6">
        <f>_xlfn.XLOOKUP(E125,nom_commune,villes_clients!E:E)*2</f>
        <v>1300.1152115931732</v>
      </c>
      <c r="O125" s="5">
        <f>IF(F125="train",G125,_xlfn.XLOOKUP(B125,Num_Projet,Projets!G:G,0,0)*N125)</f>
        <v>11037.978146426041</v>
      </c>
      <c r="P125" s="5">
        <f>_xlfn.XLOOKUP(_xlfn.XLOOKUP(E125,nom_commune,villes_clients!D:D,0,0),Seuil_population,Nuitée,0,1) * J125</f>
        <v>750</v>
      </c>
      <c r="Q125" s="5">
        <f>_xlfn.XLOOKUP( _xlfn.CONCAT(A125,"-",_xlfn.XLOOKUP(A125,Matr,Consultants!E:E) ),Dernier_contrat,Contrats!D:D,0,0) * IF(J125&gt;0,J125,1)</f>
        <v>1460</v>
      </c>
      <c r="R125" s="44">
        <f t="shared" si="3"/>
        <v>10300.98360981953</v>
      </c>
      <c r="S125" s="6">
        <f>( IF(F125="train", CO2_Train, _xlfn.XLOOKUP(I125,Immat_voitures,voitures_declarees!L:L,0,0)) * N125 ) / 1000</f>
        <v>201.51785779694185</v>
      </c>
    </row>
    <row r="126" spans="1:19" x14ac:dyDescent="0.2">
      <c r="A126">
        <v>5607</v>
      </c>
      <c r="B126">
        <v>9256</v>
      </c>
      <c r="C126" s="3">
        <v>46352</v>
      </c>
      <c r="D126" s="3">
        <v>46367</v>
      </c>
      <c r="E126" t="s">
        <v>122</v>
      </c>
      <c r="F126" t="s">
        <v>78</v>
      </c>
      <c r="G126" s="5">
        <v>120.47</v>
      </c>
      <c r="H126" t="s">
        <v>79</v>
      </c>
      <c r="J126">
        <f t="shared" si="2"/>
        <v>12</v>
      </c>
      <c r="K126" t="str">
        <f>_xlfn.XLOOKUP($B126,Num_Projet,Projets!B:B,"Inexistant",0)</f>
        <v>Log2030</v>
      </c>
      <c r="L126" t="str">
        <f>_xlfn.XLOOKUP($B126,Num_Projet,Projets!C:C,"Inexistant",0)</f>
        <v>gouvernance</v>
      </c>
      <c r="M126" t="str">
        <f>_xlfn.XLOOKUP($B126,Num_Projet,Projets!D:D,"Inexistant",0)</f>
        <v>Banque Invest</v>
      </c>
      <c r="N126" s="6">
        <f>_xlfn.XLOOKUP(E126,nom_commune,villes_clients!E:E)*2</f>
        <v>423.94716370353035</v>
      </c>
      <c r="O126" s="5">
        <f>IF(F126="train",G126,_xlfn.XLOOKUP(B126,Num_Projet,Projets!G:G,0,0)*N126)</f>
        <v>120.47</v>
      </c>
      <c r="P126" s="5">
        <f>_xlfn.XLOOKUP(_xlfn.XLOOKUP(E126,nom_commune,villes_clients!D:D,0,0),Seuil_population,Nuitée,0,1) * J126</f>
        <v>900</v>
      </c>
      <c r="Q126" s="5">
        <f>_xlfn.XLOOKUP( _xlfn.CONCAT(A126,"-",_xlfn.XLOOKUP(A126,Matr,Consultants!E:E) ),Dernier_contrat,Contrats!D:D,0,0) * IF(J126&gt;0,J126,1)</f>
        <v>1248</v>
      </c>
      <c r="R126" s="44">
        <f t="shared" si="3"/>
        <v>2268.4700000000003</v>
      </c>
      <c r="S126" s="6">
        <f>( IF(F126="train", CO2_Train, _xlfn.XLOOKUP(I126,Immat_voitures,voitures_declarees!L:L,0,0)) * N126 ) / 1000</f>
        <v>0.84789432740706072</v>
      </c>
    </row>
    <row r="127" spans="1:19" x14ac:dyDescent="0.2">
      <c r="A127">
        <v>4733</v>
      </c>
      <c r="B127">
        <v>4687</v>
      </c>
      <c r="C127" s="3">
        <v>46354</v>
      </c>
      <c r="D127" s="3">
        <v>46365</v>
      </c>
      <c r="E127" t="s">
        <v>167</v>
      </c>
      <c r="F127" t="s">
        <v>82</v>
      </c>
      <c r="H127" t="s">
        <v>85</v>
      </c>
      <c r="I127" s="49" t="s">
        <v>112</v>
      </c>
      <c r="J127">
        <f t="shared" si="2"/>
        <v>8</v>
      </c>
      <c r="K127" t="str">
        <f>_xlfn.XLOOKUP($B127,Num_Projet,Projets!B:B,"Inexistant",0)</f>
        <v>Mirage</v>
      </c>
      <c r="L127" t="str">
        <f>_xlfn.XLOOKUP($B127,Num_Projet,Projets!C:C,"Inexistant",0)</f>
        <v>cybersécurité</v>
      </c>
      <c r="M127" t="str">
        <f>_xlfn.XLOOKUP($B127,Num_Projet,Projets!D:D,"Inexistant",0)</f>
        <v>Banque Invest</v>
      </c>
      <c r="N127" s="6">
        <f>_xlfn.XLOOKUP(E127,nom_commune,villes_clients!E:E)*2</f>
        <v>14.255627214604903</v>
      </c>
      <c r="O127" s="5">
        <f>IF(F127="train",G127,_xlfn.XLOOKUP(B127,Num_Projet,Projets!G:G,0,0)*N127)</f>
        <v>120.88771877984959</v>
      </c>
      <c r="P127" s="5">
        <f>_xlfn.XLOOKUP(_xlfn.XLOOKUP(E127,nom_commune,villes_clients!D:D,0,0),Seuil_population,Nuitée,0,1) * J127</f>
        <v>400</v>
      </c>
      <c r="Q127" s="5">
        <f>_xlfn.XLOOKUP( _xlfn.CONCAT(A127,"-",_xlfn.XLOOKUP(A127,Matr,Consultants!E:E) ),Dernier_contrat,Contrats!D:D,0,0) * IF(J127&gt;0,J127,1)</f>
        <v>1552</v>
      </c>
      <c r="R127" s="44">
        <f t="shared" si="3"/>
        <v>1942.6657890848871</v>
      </c>
      <c r="S127" s="6">
        <f>( IF(F127="train", CO2_Train, _xlfn.XLOOKUP(I127,Immat_voitures,voitures_declarees!L:L,0,0)) * N127 ) / 1000</f>
        <v>1.4683296031043052</v>
      </c>
    </row>
    <row r="128" spans="1:19" x14ac:dyDescent="0.2">
      <c r="A128">
        <v>4744</v>
      </c>
      <c r="B128">
        <v>4125</v>
      </c>
      <c r="C128" s="3">
        <v>46354</v>
      </c>
      <c r="D128" s="3">
        <v>46357</v>
      </c>
      <c r="E128" t="s">
        <v>159</v>
      </c>
      <c r="F128" t="s">
        <v>82</v>
      </c>
      <c r="H128" t="s">
        <v>85</v>
      </c>
      <c r="I128" s="49" t="s">
        <v>107</v>
      </c>
      <c r="J128">
        <f t="shared" si="2"/>
        <v>2</v>
      </c>
      <c r="K128" t="str">
        <f>_xlfn.XLOOKUP($B128,Num_Projet,Projets!B:B,"Inexistant",0)</f>
        <v>ADV</v>
      </c>
      <c r="L128" t="str">
        <f>_xlfn.XLOOKUP($B128,Num_Projet,Projets!C:C,"Inexistant",0)</f>
        <v>gouvernance</v>
      </c>
      <c r="M128" t="str">
        <f>_xlfn.XLOOKUP($B128,Num_Projet,Projets!D:D,"Inexistant",0)</f>
        <v>Industries Nova Tech</v>
      </c>
      <c r="N128" s="6">
        <f>_xlfn.XLOOKUP(E128,nom_commune,villes_clients!E:E)*2</f>
        <v>1274.7395363740186</v>
      </c>
      <c r="O128" s="5">
        <f>IF(F128="train",G128,_xlfn.XLOOKUP(B128,Num_Projet,Projets!G:G,0,0)*N128)</f>
        <v>10287.148058538331</v>
      </c>
      <c r="P128" s="5">
        <f>_xlfn.XLOOKUP(_xlfn.XLOOKUP(E128,nom_commune,villes_clients!D:D,0,0),Seuil_population,Nuitée,0,1) * J128</f>
        <v>150</v>
      </c>
      <c r="Q128" s="5">
        <f>_xlfn.XLOOKUP( _xlfn.CONCAT(A128,"-",_xlfn.XLOOKUP(A128,Matr,Consultants!E:E) ),Dernier_contrat,Contrats!D:D,0,0) * IF(J128&gt;0,J128,1)</f>
        <v>254</v>
      </c>
      <c r="R128" s="44">
        <f t="shared" si="3"/>
        <v>8081.8610439037475</v>
      </c>
      <c r="S128" s="6">
        <f>( IF(F128="train", CO2_Train, _xlfn.XLOOKUP(I128,Immat_voitures,voitures_declarees!L:L,0,0)) * N128 ) / 1000</f>
        <v>272.79426078403998</v>
      </c>
    </row>
    <row r="129" spans="1:19" x14ac:dyDescent="0.2">
      <c r="A129">
        <v>5959</v>
      </c>
      <c r="B129">
        <v>7717</v>
      </c>
      <c r="C129" s="3">
        <v>46355</v>
      </c>
      <c r="D129" s="3">
        <v>46365</v>
      </c>
      <c r="E129" t="s">
        <v>96</v>
      </c>
      <c r="F129" t="s">
        <v>82</v>
      </c>
      <c r="H129" t="s">
        <v>85</v>
      </c>
      <c r="I129" s="49" t="s">
        <v>94</v>
      </c>
      <c r="J129">
        <f t="shared" si="2"/>
        <v>8</v>
      </c>
      <c r="K129" t="str">
        <f>_xlfn.XLOOKUP($B129,Num_Projet,Projets!B:B,"Inexistant",0)</f>
        <v>Alpha</v>
      </c>
      <c r="L129" t="str">
        <f>_xlfn.XLOOKUP($B129,Num_Projet,Projets!C:C,"Inexistant",0)</f>
        <v>gouvernance</v>
      </c>
      <c r="M129" t="str">
        <f>_xlfn.XLOOKUP($B129,Num_Projet,Projets!D:D,"Inexistant",0)</f>
        <v>Industries Nova Tech</v>
      </c>
      <c r="N129" s="6">
        <f>_xlfn.XLOOKUP(E129,nom_commune,villes_clients!E:E)*2</f>
        <v>29.536377804270522</v>
      </c>
      <c r="O129" s="5">
        <f>IF(F129="train",G129,_xlfn.XLOOKUP(B129,Num_Projet,Projets!G:G,0,0)*N129)</f>
        <v>248.69630111195778</v>
      </c>
      <c r="P129" s="5">
        <f>_xlfn.XLOOKUP(_xlfn.XLOOKUP(E129,nom_commune,villes_clients!D:D,0,0),Seuil_population,Nuitée,0,1) * J129</f>
        <v>600</v>
      </c>
      <c r="Q129" s="5">
        <f>_xlfn.XLOOKUP( _xlfn.CONCAT(A129,"-",_xlfn.XLOOKUP(A129,Matr,Consultants!E:E) ),Dernier_contrat,Contrats!D:D,0,0) * IF(J129&gt;0,J129,1)</f>
        <v>1584</v>
      </c>
      <c r="R129" s="44">
        <f t="shared" si="3"/>
        <v>2220.5222258339682</v>
      </c>
      <c r="S129" s="6">
        <f>( IF(F129="train", CO2_Train, _xlfn.XLOOKUP(I129,Immat_voitures,voitures_declarees!L:L,0,0)) * N129 ) / 1000</f>
        <v>4.8144295820960954</v>
      </c>
    </row>
    <row r="130" spans="1:19" x14ac:dyDescent="0.2">
      <c r="A130">
        <v>1435</v>
      </c>
      <c r="B130">
        <v>9437</v>
      </c>
      <c r="C130" s="3">
        <v>46359</v>
      </c>
      <c r="D130" s="3">
        <v>46368</v>
      </c>
      <c r="E130" t="s">
        <v>169</v>
      </c>
      <c r="F130" t="s">
        <v>78</v>
      </c>
      <c r="G130" s="5">
        <v>95.93</v>
      </c>
      <c r="H130" t="s">
        <v>79</v>
      </c>
      <c r="J130">
        <f t="shared" ref="J130:J193" si="4">NETWORKDAYS(C130,D130,Jours_Fériés)</f>
        <v>7</v>
      </c>
      <c r="K130" t="str">
        <f>_xlfn.XLOOKUP($B130,Num_Projet,Projets!B:B,"Inexistant",0)</f>
        <v>E30</v>
      </c>
      <c r="L130" t="str">
        <f>_xlfn.XLOOKUP($B130,Num_Projet,Projets!C:C,"Inexistant",0)</f>
        <v>gouvernance</v>
      </c>
      <c r="M130" t="str">
        <f>_xlfn.XLOOKUP($B130,Num_Projet,Projets!D:D,"Inexistant",0)</f>
        <v>Cooperative Muvuca</v>
      </c>
      <c r="N130" s="6">
        <f>_xlfn.XLOOKUP(E130,nom_commune,villes_clients!E:E)*2</f>
        <v>371.16328358772228</v>
      </c>
      <c r="O130" s="5">
        <f>IF(F130="train",G130,_xlfn.XLOOKUP(B130,Num_Projet,Projets!G:G,0,0)*N130)</f>
        <v>95.93</v>
      </c>
      <c r="P130" s="5">
        <f>_xlfn.XLOOKUP(_xlfn.XLOOKUP(E130,nom_commune,villes_clients!D:D,0,0),Seuil_population,Nuitée,0,1) * J130</f>
        <v>525</v>
      </c>
      <c r="Q130" s="5">
        <f>_xlfn.XLOOKUP( _xlfn.CONCAT(A130,"-",_xlfn.XLOOKUP(A130,Matr,Consultants!E:E) ),Dernier_contrat,Contrats!D:D,0,0) * IF(J130&gt;0,J130,1)</f>
        <v>749</v>
      </c>
      <c r="R130" s="44">
        <f t="shared" si="3"/>
        <v>1369.93</v>
      </c>
      <c r="S130" s="6">
        <f>( IF(F130="train", CO2_Train, _xlfn.XLOOKUP(I130,Immat_voitures,voitures_declarees!L:L,0,0)) * N130 ) / 1000</f>
        <v>0.74232656717544454</v>
      </c>
    </row>
    <row r="131" spans="1:19" x14ac:dyDescent="0.2">
      <c r="A131">
        <v>3137</v>
      </c>
      <c r="B131">
        <v>3394</v>
      </c>
      <c r="C131" s="3">
        <v>46366</v>
      </c>
      <c r="D131" s="3">
        <v>46373</v>
      </c>
      <c r="E131" t="s">
        <v>91</v>
      </c>
      <c r="F131" t="s">
        <v>82</v>
      </c>
      <c r="H131" t="s">
        <v>85</v>
      </c>
      <c r="I131" s="49" t="s">
        <v>92</v>
      </c>
      <c r="J131">
        <f t="shared" si="4"/>
        <v>6</v>
      </c>
      <c r="K131" t="str">
        <f>_xlfn.XLOOKUP($B131,Num_Projet,Projets!B:B,"Inexistant",0)</f>
        <v>NextGen</v>
      </c>
      <c r="L131" t="str">
        <f>_xlfn.XLOOKUP($B131,Num_Projet,Projets!C:C,"Inexistant",0)</f>
        <v>transformation digital</v>
      </c>
      <c r="M131" t="str">
        <f>_xlfn.XLOOKUP($B131,Num_Projet,Projets!D:D,"Inexistant",0)</f>
        <v>Cooperative Muvuca</v>
      </c>
      <c r="N131" s="6">
        <f>_xlfn.XLOOKUP(E131,nom_commune,villes_clients!E:E)*2</f>
        <v>16.416834937395087</v>
      </c>
      <c r="O131" s="5">
        <f>IF(F131="train",G131,_xlfn.XLOOKUP(B131,Num_Projet,Projets!G:G,0,0)*N131)</f>
        <v>139.37892861848431</v>
      </c>
      <c r="P131" s="5">
        <f>_xlfn.XLOOKUP(_xlfn.XLOOKUP(E131,nom_commune,villes_clients!D:D,0,0),Seuil_population,Nuitée,0,1) * J131</f>
        <v>450</v>
      </c>
      <c r="Q131" s="5">
        <f>_xlfn.XLOOKUP( _xlfn.CONCAT(A131,"-",_xlfn.XLOOKUP(A131,Matr,Consultants!E:E) ),Dernier_contrat,Contrats!D:D,0,0) * IF(J131&gt;0,J131,1)</f>
        <v>1176</v>
      </c>
      <c r="R131" s="44">
        <f t="shared" ref="R131:R194" si="5">Q131 + SUM(O131:P131) * IF(H131 = "Oui",1,0.75)</f>
        <v>1618.0341964638633</v>
      </c>
      <c r="S131" s="6">
        <f>( IF(F131="train", CO2_Train, _xlfn.XLOOKUP(I131,Immat_voitures,voitures_declarees!L:L,0,0)) * N131 ) / 1000</f>
        <v>2.5446094152962386</v>
      </c>
    </row>
    <row r="132" spans="1:19" x14ac:dyDescent="0.2">
      <c r="A132">
        <v>3772</v>
      </c>
      <c r="B132">
        <v>4687</v>
      </c>
      <c r="C132" s="3">
        <v>46366</v>
      </c>
      <c r="D132" s="3">
        <v>46381</v>
      </c>
      <c r="E132" t="s">
        <v>178</v>
      </c>
      <c r="F132" t="s">
        <v>82</v>
      </c>
      <c r="H132" t="s">
        <v>79</v>
      </c>
      <c r="I132" s="49" t="s">
        <v>112</v>
      </c>
      <c r="J132">
        <f t="shared" si="4"/>
        <v>11</v>
      </c>
      <c r="K132" t="str">
        <f>_xlfn.XLOOKUP($B132,Num_Projet,Projets!B:B,"Inexistant",0)</f>
        <v>Mirage</v>
      </c>
      <c r="L132" t="str">
        <f>_xlfn.XLOOKUP($B132,Num_Projet,Projets!C:C,"Inexistant",0)</f>
        <v>cybersécurité</v>
      </c>
      <c r="M132" t="str">
        <f>_xlfn.XLOOKUP($B132,Num_Projet,Projets!D:D,"Inexistant",0)</f>
        <v>Banque Invest</v>
      </c>
      <c r="N132" s="6">
        <f>_xlfn.XLOOKUP(E132,nom_commune,villes_clients!E:E)*2</f>
        <v>627.46733360788642</v>
      </c>
      <c r="O132" s="5">
        <f>IF(F132="train",G132,_xlfn.XLOOKUP(B132,Num_Projet,Projets!G:G,0,0)*N132)</f>
        <v>5320.9229889948774</v>
      </c>
      <c r="P132" s="5">
        <f>_xlfn.XLOOKUP(_xlfn.XLOOKUP(E132,nom_commune,villes_clients!D:D,0,0),Seuil_population,Nuitée,0,1) * J132</f>
        <v>550</v>
      </c>
      <c r="Q132" s="5">
        <f>_xlfn.XLOOKUP( _xlfn.CONCAT(A132,"-",_xlfn.XLOOKUP(A132,Matr,Consultants!E:E) ),Dernier_contrat,Contrats!D:D,0,0) * IF(J132&gt;0,J132,1)</f>
        <v>2255</v>
      </c>
      <c r="R132" s="44">
        <f t="shared" si="5"/>
        <v>8125.9229889948774</v>
      </c>
      <c r="S132" s="6">
        <f>( IF(F132="train", CO2_Train, _xlfn.XLOOKUP(I132,Immat_voitures,voitures_declarees!L:L,0,0)) * N132 ) / 1000</f>
        <v>64.629135361612299</v>
      </c>
    </row>
    <row r="133" spans="1:19" x14ac:dyDescent="0.2">
      <c r="A133">
        <v>8988</v>
      </c>
      <c r="B133">
        <v>9437</v>
      </c>
      <c r="C133" s="3">
        <v>46367</v>
      </c>
      <c r="D133" s="3">
        <v>46379</v>
      </c>
      <c r="E133" t="s">
        <v>111</v>
      </c>
      <c r="F133" t="s">
        <v>82</v>
      </c>
      <c r="H133" t="s">
        <v>85</v>
      </c>
      <c r="I133" s="49" t="s">
        <v>94</v>
      </c>
      <c r="J133">
        <f t="shared" si="4"/>
        <v>9</v>
      </c>
      <c r="K133" t="str">
        <f>_xlfn.XLOOKUP($B133,Num_Projet,Projets!B:B,"Inexistant",0)</f>
        <v>E30</v>
      </c>
      <c r="L133" t="str">
        <f>_xlfn.XLOOKUP($B133,Num_Projet,Projets!C:C,"Inexistant",0)</f>
        <v>gouvernance</v>
      </c>
      <c r="M133" t="str">
        <f>_xlfn.XLOOKUP($B133,Num_Projet,Projets!D:D,"Inexistant",0)</f>
        <v>Cooperative Muvuca</v>
      </c>
      <c r="N133" s="6">
        <f>_xlfn.XLOOKUP(E133,nom_commune,villes_clients!E:E)*2</f>
        <v>24.6966807629126</v>
      </c>
      <c r="O133" s="5">
        <f>IF(F133="train",G133,_xlfn.XLOOKUP(B133,Num_Projet,Projets!G:G,0,0)*N133)</f>
        <v>171.1479976869843</v>
      </c>
      <c r="P133" s="5">
        <f>_xlfn.XLOOKUP(_xlfn.XLOOKUP(E133,nom_commune,villes_clients!D:D,0,0),Seuil_population,Nuitée,0,1) * J133</f>
        <v>675</v>
      </c>
      <c r="Q133" s="5">
        <f>_xlfn.XLOOKUP( _xlfn.CONCAT(A133,"-",_xlfn.XLOOKUP(A133,Matr,Consultants!E:E) ),Dernier_contrat,Contrats!D:D,0,0) * IF(J133&gt;0,J133,1)</f>
        <v>1782</v>
      </c>
      <c r="R133" s="44">
        <f t="shared" si="5"/>
        <v>2416.6109982652383</v>
      </c>
      <c r="S133" s="6">
        <f>( IF(F133="train", CO2_Train, _xlfn.XLOOKUP(I133,Immat_voitures,voitures_declarees!L:L,0,0)) * N133 ) / 1000</f>
        <v>4.0255589643547536</v>
      </c>
    </row>
    <row r="134" spans="1:19" x14ac:dyDescent="0.2">
      <c r="A134">
        <v>4359</v>
      </c>
      <c r="B134">
        <v>8140</v>
      </c>
      <c r="C134" s="3">
        <v>46367</v>
      </c>
      <c r="D134" s="3">
        <v>46379</v>
      </c>
      <c r="E134" t="s">
        <v>179</v>
      </c>
      <c r="F134" t="s">
        <v>78</v>
      </c>
      <c r="G134" s="5">
        <v>303.45999999999998</v>
      </c>
      <c r="H134" t="s">
        <v>85</v>
      </c>
      <c r="J134">
        <f t="shared" si="4"/>
        <v>9</v>
      </c>
      <c r="K134" t="str">
        <f>_xlfn.XLOOKUP($B134,Num_Projet,Projets!B:B,"Inexistant",0)</f>
        <v>Beta</v>
      </c>
      <c r="L134" t="str">
        <f>_xlfn.XLOOKUP($B134,Num_Projet,Projets!C:C,"Inexistant",0)</f>
        <v>systèmes d'information</v>
      </c>
      <c r="M134" t="str">
        <f>_xlfn.XLOOKUP($B134,Num_Projet,Projets!D:D,"Inexistant",0)</f>
        <v>Société AHT</v>
      </c>
      <c r="N134" s="6">
        <f>_xlfn.XLOOKUP(E134,nom_commune,villes_clients!E:E)*2</f>
        <v>1157.5879728259688</v>
      </c>
      <c r="O134" s="5">
        <f>IF(F134="train",G134,_xlfn.XLOOKUP(B134,Num_Projet,Projets!G:G,0,0)*N134)</f>
        <v>303.45999999999998</v>
      </c>
      <c r="P134" s="5">
        <f>_xlfn.XLOOKUP(_xlfn.XLOOKUP(E134,nom_commune,villes_clients!D:D,0,0),Seuil_population,Nuitée,0,1) * J134</f>
        <v>675</v>
      </c>
      <c r="Q134" s="5">
        <f>_xlfn.XLOOKUP( _xlfn.CONCAT(A134,"-",_xlfn.XLOOKUP(A134,Matr,Consultants!E:E) ),Dernier_contrat,Contrats!D:D,0,0) * IF(J134&gt;0,J134,1)</f>
        <v>918</v>
      </c>
      <c r="R134" s="44">
        <f t="shared" si="5"/>
        <v>1651.845</v>
      </c>
      <c r="S134" s="6">
        <f>( IF(F134="train", CO2_Train, _xlfn.XLOOKUP(I134,Immat_voitures,voitures_declarees!L:L,0,0)) * N134 ) / 1000</f>
        <v>2.3151759456519376</v>
      </c>
    </row>
    <row r="135" spans="1:19" x14ac:dyDescent="0.2">
      <c r="A135">
        <v>7954</v>
      </c>
      <c r="B135">
        <v>9018</v>
      </c>
      <c r="C135" s="3">
        <v>46369</v>
      </c>
      <c r="D135" s="3">
        <v>46371</v>
      </c>
      <c r="E135" t="s">
        <v>141</v>
      </c>
      <c r="F135" t="s">
        <v>78</v>
      </c>
      <c r="G135" s="5">
        <v>270.68</v>
      </c>
      <c r="H135" t="s">
        <v>85</v>
      </c>
      <c r="J135">
        <f t="shared" si="4"/>
        <v>2</v>
      </c>
      <c r="K135" t="str">
        <f>_xlfn.XLOOKUP($B135,Num_Projet,Projets!B:B,"Inexistant",0)</f>
        <v>Onix</v>
      </c>
      <c r="L135" t="str">
        <f>_xlfn.XLOOKUP($B135,Num_Projet,Projets!C:C,"Inexistant",0)</f>
        <v>systèmes d'information</v>
      </c>
      <c r="M135" t="str">
        <f>_xlfn.XLOOKUP($B135,Num_Projet,Projets!D:D,"Inexistant",0)</f>
        <v>Société AHT</v>
      </c>
      <c r="N135" s="6">
        <f>_xlfn.XLOOKUP(E135,nom_commune,villes_clients!E:E)*2</f>
        <v>492.25514367701084</v>
      </c>
      <c r="O135" s="5">
        <f>IF(F135="train",G135,_xlfn.XLOOKUP(B135,Num_Projet,Projets!G:G,0,0)*N135)</f>
        <v>270.68</v>
      </c>
      <c r="P135" s="5">
        <f>_xlfn.XLOOKUP(_xlfn.XLOOKUP(E135,nom_commune,villes_clients!D:D,0,0),Seuil_population,Nuitée,0,1) * J135</f>
        <v>100</v>
      </c>
      <c r="Q135" s="5">
        <f>_xlfn.XLOOKUP( _xlfn.CONCAT(A135,"-",_xlfn.XLOOKUP(A135,Matr,Consultants!E:E) ),Dernier_contrat,Contrats!D:D,0,0) * IF(J135&gt;0,J135,1)</f>
        <v>230</v>
      </c>
      <c r="R135" s="44">
        <f t="shared" si="5"/>
        <v>508.01</v>
      </c>
      <c r="S135" s="6">
        <f>( IF(F135="train", CO2_Train, _xlfn.XLOOKUP(I135,Immat_voitures,voitures_declarees!L:L,0,0)) * N135 ) / 1000</f>
        <v>0.98451028735402168</v>
      </c>
    </row>
    <row r="136" spans="1:19" x14ac:dyDescent="0.2">
      <c r="A136">
        <v>5211</v>
      </c>
      <c r="B136">
        <v>7371</v>
      </c>
      <c r="C136" s="3">
        <v>46369</v>
      </c>
      <c r="D136" s="3">
        <v>46371</v>
      </c>
      <c r="E136" t="s">
        <v>137</v>
      </c>
      <c r="F136" t="s">
        <v>82</v>
      </c>
      <c r="H136" t="s">
        <v>79</v>
      </c>
      <c r="I136" s="49" t="s">
        <v>86</v>
      </c>
      <c r="J136">
        <f t="shared" si="4"/>
        <v>2</v>
      </c>
      <c r="K136" t="str">
        <f>_xlfn.XLOOKUP($B136,Num_Projet,Projets!B:B,"Inexistant",0)</f>
        <v>Infra2</v>
      </c>
      <c r="L136" t="str">
        <f>_xlfn.XLOOKUP($B136,Num_Projet,Projets!C:C,"Inexistant",0)</f>
        <v>cybersécurité</v>
      </c>
      <c r="M136" t="str">
        <f>_xlfn.XLOOKUP($B136,Num_Projet,Projets!D:D,"Inexistant",0)</f>
        <v>Société AHT</v>
      </c>
      <c r="N136" s="6">
        <f>_xlfn.XLOOKUP(E136,nom_commune,villes_clients!E:E)*2</f>
        <v>802.07383910513863</v>
      </c>
      <c r="O136" s="5">
        <f>IF(F136="train",G136,_xlfn.XLOOKUP(B136,Num_Projet,Projets!G:G,0,0)*N136)</f>
        <v>7226.6852903372992</v>
      </c>
      <c r="P136" s="5">
        <f>_xlfn.XLOOKUP(_xlfn.XLOOKUP(E136,nom_commune,villes_clients!D:D,0,0),Seuil_population,Nuitée,0,1) * J136</f>
        <v>100</v>
      </c>
      <c r="Q136" s="5">
        <f>_xlfn.XLOOKUP( _xlfn.CONCAT(A136,"-",_xlfn.XLOOKUP(A136,Matr,Consultants!E:E) ),Dernier_contrat,Contrats!D:D,0,0) * IF(J136&gt;0,J136,1)</f>
        <v>354</v>
      </c>
      <c r="R136" s="44">
        <f t="shared" si="5"/>
        <v>7680.6852903372992</v>
      </c>
      <c r="S136" s="6">
        <f>( IF(F136="train", CO2_Train, _xlfn.XLOOKUP(I136,Immat_voitures,voitures_declarees!L:L,0,0)) * N136 ) / 1000</f>
        <v>190.09149986791786</v>
      </c>
    </row>
    <row r="137" spans="1:19" x14ac:dyDescent="0.2">
      <c r="A137">
        <v>7175</v>
      </c>
      <c r="B137">
        <v>7717</v>
      </c>
      <c r="C137" s="3">
        <v>46369</v>
      </c>
      <c r="D137" s="3">
        <v>46383</v>
      </c>
      <c r="E137" t="s">
        <v>131</v>
      </c>
      <c r="F137" t="s">
        <v>82</v>
      </c>
      <c r="H137" t="s">
        <v>85</v>
      </c>
      <c r="I137" s="49" t="s">
        <v>92</v>
      </c>
      <c r="J137">
        <f t="shared" si="4"/>
        <v>9</v>
      </c>
      <c r="K137" t="str">
        <f>_xlfn.XLOOKUP($B137,Num_Projet,Projets!B:B,"Inexistant",0)</f>
        <v>Alpha</v>
      </c>
      <c r="L137" t="str">
        <f>_xlfn.XLOOKUP($B137,Num_Projet,Projets!C:C,"Inexistant",0)</f>
        <v>gouvernance</v>
      </c>
      <c r="M137" t="str">
        <f>_xlfn.XLOOKUP($B137,Num_Projet,Projets!D:D,"Inexistant",0)</f>
        <v>Industries Nova Tech</v>
      </c>
      <c r="N137" s="6">
        <f>_xlfn.XLOOKUP(E137,nom_commune,villes_clients!E:E)*2</f>
        <v>20.365399926691858</v>
      </c>
      <c r="O137" s="5">
        <f>IF(F137="train",G137,_xlfn.XLOOKUP(B137,Num_Projet,Projets!G:G,0,0)*N137)</f>
        <v>171.47666738274543</v>
      </c>
      <c r="P137" s="5">
        <f>_xlfn.XLOOKUP(_xlfn.XLOOKUP(E137,nom_commune,villes_clients!D:D,0,0),Seuil_population,Nuitée,0,1) * J137</f>
        <v>450</v>
      </c>
      <c r="Q137" s="5">
        <f>_xlfn.XLOOKUP( _xlfn.CONCAT(A137,"-",_xlfn.XLOOKUP(A137,Matr,Consultants!E:E) ),Dernier_contrat,Contrats!D:D,0,0) * IF(J137&gt;0,J137,1)</f>
        <v>1188</v>
      </c>
      <c r="R137" s="44">
        <f t="shared" si="5"/>
        <v>1654.107500537059</v>
      </c>
      <c r="S137" s="6">
        <f>( IF(F137="train", CO2_Train, _xlfn.XLOOKUP(I137,Immat_voitures,voitures_declarees!L:L,0,0)) * N137 ) / 1000</f>
        <v>3.1566369886372381</v>
      </c>
    </row>
    <row r="138" spans="1:19" x14ac:dyDescent="0.2">
      <c r="A138">
        <v>4641</v>
      </c>
      <c r="B138">
        <v>2764</v>
      </c>
      <c r="C138" s="3">
        <v>46370</v>
      </c>
      <c r="D138" s="3">
        <v>46370</v>
      </c>
      <c r="E138" t="s">
        <v>173</v>
      </c>
      <c r="F138" t="s">
        <v>82</v>
      </c>
      <c r="H138" t="s">
        <v>85</v>
      </c>
      <c r="I138" s="49" t="s">
        <v>107</v>
      </c>
      <c r="J138">
        <f t="shared" si="4"/>
        <v>1</v>
      </c>
      <c r="K138" t="str">
        <f>_xlfn.XLOOKUP($B138,Num_Projet,Projets!B:B,"Inexistant",0)</f>
        <v>MARCO</v>
      </c>
      <c r="L138" t="str">
        <f>_xlfn.XLOOKUP($B138,Num_Projet,Projets!C:C,"Inexistant",0)</f>
        <v>transformation digital</v>
      </c>
      <c r="M138" t="str">
        <f>_xlfn.XLOOKUP($B138,Num_Projet,Projets!D:D,"Inexistant",0)</f>
        <v>Banque Invest</v>
      </c>
      <c r="N138" s="6">
        <f>_xlfn.XLOOKUP(E138,nom_commune,villes_clients!E:E)*2</f>
        <v>788.28427562019067</v>
      </c>
      <c r="O138" s="5">
        <f>IF(F138="train",G138,_xlfn.XLOOKUP(B138,Num_Projet,Projets!G:G,0,0)*N138)</f>
        <v>5541.6384576099408</v>
      </c>
      <c r="P138" s="5">
        <f>_xlfn.XLOOKUP(_xlfn.XLOOKUP(E138,nom_commune,villes_clients!D:D,0,0),Seuil_population,Nuitée,0,1) * J138</f>
        <v>75</v>
      </c>
      <c r="Q138" s="5">
        <f>_xlfn.XLOOKUP( _xlfn.CONCAT(A138,"-",_xlfn.XLOOKUP(A138,Matr,Consultants!E:E) ),Dernier_contrat,Contrats!D:D,0,0) * IF(J138&gt;0,J138,1)</f>
        <v>137</v>
      </c>
      <c r="R138" s="44">
        <f t="shared" si="5"/>
        <v>4349.4788432074556</v>
      </c>
      <c r="S138" s="6">
        <f>( IF(F138="train", CO2_Train, _xlfn.XLOOKUP(I138,Immat_voitures,voitures_declarees!L:L,0,0)) * N138 ) / 1000</f>
        <v>168.69283498272083</v>
      </c>
    </row>
    <row r="139" spans="1:19" x14ac:dyDescent="0.2">
      <c r="A139">
        <v>1435</v>
      </c>
      <c r="B139">
        <v>4641</v>
      </c>
      <c r="C139" s="3">
        <v>46371</v>
      </c>
      <c r="D139" s="3">
        <v>46374</v>
      </c>
      <c r="E139" t="s">
        <v>125</v>
      </c>
      <c r="F139" t="s">
        <v>82</v>
      </c>
      <c r="H139" t="s">
        <v>85</v>
      </c>
      <c r="I139" s="49" t="s">
        <v>114</v>
      </c>
      <c r="J139">
        <f t="shared" si="4"/>
        <v>4</v>
      </c>
      <c r="K139" t="str">
        <f>_xlfn.XLOOKUP($B139,Num_Projet,Projets!B:B,"Inexistant",0)</f>
        <v>Arche</v>
      </c>
      <c r="L139" t="str">
        <f>_xlfn.XLOOKUP($B139,Num_Projet,Projets!C:C,"Inexistant",0)</f>
        <v>systèmes d'information</v>
      </c>
      <c r="M139" t="str">
        <f>_xlfn.XLOOKUP($B139,Num_Projet,Projets!D:D,"Inexistant",0)</f>
        <v>Banque Invest</v>
      </c>
      <c r="N139" s="6">
        <f>_xlfn.XLOOKUP(E139,nom_commune,villes_clients!E:E)*2</f>
        <v>1300.1152115931732</v>
      </c>
      <c r="O139" s="5">
        <f>IF(F139="train",G139,_xlfn.XLOOKUP(B139,Num_Projet,Projets!G:G,0,0)*N139)</f>
        <v>14925.322629089629</v>
      </c>
      <c r="P139" s="5">
        <f>_xlfn.XLOOKUP(_xlfn.XLOOKUP(E139,nom_commune,villes_clients!D:D,0,0),Seuil_population,Nuitée,0,1) * J139</f>
        <v>300</v>
      </c>
      <c r="Q139" s="5">
        <f>_xlfn.XLOOKUP( _xlfn.CONCAT(A139,"-",_xlfn.XLOOKUP(A139,Matr,Consultants!E:E) ),Dernier_contrat,Contrats!D:D,0,0) * IF(J139&gt;0,J139,1)</f>
        <v>428</v>
      </c>
      <c r="R139" s="44">
        <f t="shared" si="5"/>
        <v>11846.991971817222</v>
      </c>
      <c r="S139" s="6">
        <f>( IF(F139="train", CO2_Train, _xlfn.XLOOKUP(I139,Immat_voitures,voitures_declarees!L:L,0,0)) * N139 ) / 1000</f>
        <v>260.02304231863462</v>
      </c>
    </row>
    <row r="140" spans="1:19" x14ac:dyDescent="0.2">
      <c r="A140">
        <v>4733</v>
      </c>
      <c r="B140">
        <v>8140</v>
      </c>
      <c r="C140" s="3">
        <v>46373</v>
      </c>
      <c r="D140" s="3">
        <v>46374</v>
      </c>
      <c r="E140" t="s">
        <v>116</v>
      </c>
      <c r="F140" t="s">
        <v>82</v>
      </c>
      <c r="H140" t="s">
        <v>79</v>
      </c>
      <c r="I140" s="49" t="s">
        <v>114</v>
      </c>
      <c r="J140">
        <f t="shared" si="4"/>
        <v>2</v>
      </c>
      <c r="K140" t="str">
        <f>_xlfn.XLOOKUP($B140,Num_Projet,Projets!B:B,"Inexistant",0)</f>
        <v>Beta</v>
      </c>
      <c r="L140" t="str">
        <f>_xlfn.XLOOKUP($B140,Num_Projet,Projets!C:C,"Inexistant",0)</f>
        <v>systèmes d'information</v>
      </c>
      <c r="M140" t="str">
        <f>_xlfn.XLOOKUP($B140,Num_Projet,Projets!D:D,"Inexistant",0)</f>
        <v>Société AHT</v>
      </c>
      <c r="N140" s="6">
        <f>_xlfn.XLOOKUP(E140,nom_commune,villes_clients!E:E)*2</f>
        <v>430.97127785734853</v>
      </c>
      <c r="O140" s="5">
        <f>IF(F140="train",G140,_xlfn.XLOOKUP(B140,Num_Projet,Projets!G:G,0,0)*N140)</f>
        <v>3387.4342439587595</v>
      </c>
      <c r="P140" s="5">
        <f>_xlfn.XLOOKUP(_xlfn.XLOOKUP(E140,nom_commune,villes_clients!D:D,0,0),Seuil_population,Nuitée,0,1) * J140</f>
        <v>150</v>
      </c>
      <c r="Q140" s="5">
        <f>_xlfn.XLOOKUP( _xlfn.CONCAT(A140,"-",_xlfn.XLOOKUP(A140,Matr,Consultants!E:E) ),Dernier_contrat,Contrats!D:D,0,0) * IF(J140&gt;0,J140,1)</f>
        <v>388</v>
      </c>
      <c r="R140" s="44">
        <f t="shared" si="5"/>
        <v>3925.4342439587595</v>
      </c>
      <c r="S140" s="6">
        <f>( IF(F140="train", CO2_Train, _xlfn.XLOOKUP(I140,Immat_voitures,voitures_declarees!L:L,0,0)) * N140 ) / 1000</f>
        <v>86.194255571469711</v>
      </c>
    </row>
    <row r="141" spans="1:19" x14ac:dyDescent="0.2">
      <c r="A141">
        <v>3582</v>
      </c>
      <c r="B141">
        <v>7717</v>
      </c>
      <c r="C141" s="3">
        <v>46374</v>
      </c>
      <c r="D141" s="3">
        <v>46374</v>
      </c>
      <c r="E141" t="s">
        <v>162</v>
      </c>
      <c r="F141" t="s">
        <v>82</v>
      </c>
      <c r="H141" t="s">
        <v>85</v>
      </c>
      <c r="I141" s="49" t="s">
        <v>107</v>
      </c>
      <c r="J141">
        <f t="shared" si="4"/>
        <v>1</v>
      </c>
      <c r="K141" t="str">
        <f>_xlfn.XLOOKUP($B141,Num_Projet,Projets!B:B,"Inexistant",0)</f>
        <v>Alpha</v>
      </c>
      <c r="L141" t="str">
        <f>_xlfn.XLOOKUP($B141,Num_Projet,Projets!C:C,"Inexistant",0)</f>
        <v>gouvernance</v>
      </c>
      <c r="M141" t="str">
        <f>_xlfn.XLOOKUP($B141,Num_Projet,Projets!D:D,"Inexistant",0)</f>
        <v>Industries Nova Tech</v>
      </c>
      <c r="N141" s="6">
        <f>_xlfn.XLOOKUP(E141,nom_commune,villes_clients!E:E)*2</f>
        <v>882.95296153169909</v>
      </c>
      <c r="O141" s="5">
        <f>IF(F141="train",G141,_xlfn.XLOOKUP(B141,Num_Projet,Projets!G:G,0,0)*N141)</f>
        <v>7434.4639360969059</v>
      </c>
      <c r="P141" s="5">
        <f>_xlfn.XLOOKUP(_xlfn.XLOOKUP(E141,nom_commune,villes_clients!D:D,0,0),Seuil_population,Nuitée,0,1) * J141</f>
        <v>50</v>
      </c>
      <c r="Q141" s="5">
        <f>_xlfn.XLOOKUP( _xlfn.CONCAT(A141,"-",_xlfn.XLOOKUP(A141,Matr,Consultants!E:E) ),Dernier_contrat,Contrats!D:D,0,0) * IF(J141&gt;0,J141,1)</f>
        <v>84</v>
      </c>
      <c r="R141" s="44">
        <f t="shared" si="5"/>
        <v>5697.3479520726796</v>
      </c>
      <c r="S141" s="6">
        <f>( IF(F141="train", CO2_Train, _xlfn.XLOOKUP(I141,Immat_voitures,voitures_declarees!L:L,0,0)) * N141 ) / 1000</f>
        <v>188.9519337677836</v>
      </c>
    </row>
    <row r="142" spans="1:19" x14ac:dyDescent="0.2">
      <c r="A142">
        <v>6423</v>
      </c>
      <c r="B142">
        <v>2776</v>
      </c>
      <c r="C142" s="3">
        <v>46375</v>
      </c>
      <c r="D142" s="3">
        <v>46381</v>
      </c>
      <c r="E142" t="s">
        <v>115</v>
      </c>
      <c r="F142" t="s">
        <v>78</v>
      </c>
      <c r="G142" s="5">
        <v>81.69</v>
      </c>
      <c r="H142" t="s">
        <v>79</v>
      </c>
      <c r="J142">
        <f t="shared" si="4"/>
        <v>4</v>
      </c>
      <c r="K142" t="str">
        <f>_xlfn.XLOOKUP($B142,Num_Projet,Projets!B:B,"Inexistant",0)</f>
        <v>Destroyer</v>
      </c>
      <c r="L142" t="str">
        <f>_xlfn.XLOOKUP($B142,Num_Projet,Projets!C:C,"Inexistant",0)</f>
        <v>gouvernance</v>
      </c>
      <c r="M142" t="str">
        <f>_xlfn.XLOOKUP($B142,Num_Projet,Projets!D:D,"Inexistant",0)</f>
        <v>Groupe Oignon</v>
      </c>
      <c r="N142" s="6">
        <f>_xlfn.XLOOKUP(E142,nom_commune,villes_clients!E:E)*2</f>
        <v>683.30734654703679</v>
      </c>
      <c r="O142" s="5">
        <f>IF(F142="train",G142,_xlfn.XLOOKUP(B142,Num_Projet,Projets!G:G,0,0)*N142)</f>
        <v>81.69</v>
      </c>
      <c r="P142" s="5">
        <f>_xlfn.XLOOKUP(_xlfn.XLOOKUP(E142,nom_commune,villes_clients!D:D,0,0),Seuil_population,Nuitée,0,1) * J142</f>
        <v>400</v>
      </c>
      <c r="Q142" s="5">
        <f>_xlfn.XLOOKUP( _xlfn.CONCAT(A142,"-",_xlfn.XLOOKUP(A142,Matr,Consultants!E:E) ),Dernier_contrat,Contrats!D:D,0,0) * IF(J142&gt;0,J142,1)</f>
        <v>836</v>
      </c>
      <c r="R142" s="44">
        <f t="shared" si="5"/>
        <v>1317.69</v>
      </c>
      <c r="S142" s="6">
        <f>( IF(F142="train", CO2_Train, _xlfn.XLOOKUP(I142,Immat_voitures,voitures_declarees!L:L,0,0)) * N142 ) / 1000</f>
        <v>1.3666146930940735</v>
      </c>
    </row>
    <row r="143" spans="1:19" x14ac:dyDescent="0.2">
      <c r="A143">
        <v>5959</v>
      </c>
      <c r="B143">
        <v>9437</v>
      </c>
      <c r="C143" s="3">
        <v>46375</v>
      </c>
      <c r="D143" s="3">
        <v>46387</v>
      </c>
      <c r="E143" t="s">
        <v>131</v>
      </c>
      <c r="F143" t="s">
        <v>82</v>
      </c>
      <c r="H143" t="s">
        <v>85</v>
      </c>
      <c r="I143" s="49" t="s">
        <v>88</v>
      </c>
      <c r="J143">
        <f t="shared" si="4"/>
        <v>8</v>
      </c>
      <c r="K143" t="str">
        <f>_xlfn.XLOOKUP($B143,Num_Projet,Projets!B:B,"Inexistant",0)</f>
        <v>E30</v>
      </c>
      <c r="L143" t="str">
        <f>_xlfn.XLOOKUP($B143,Num_Projet,Projets!C:C,"Inexistant",0)</f>
        <v>gouvernance</v>
      </c>
      <c r="M143" t="str">
        <f>_xlfn.XLOOKUP($B143,Num_Projet,Projets!D:D,"Inexistant",0)</f>
        <v>Cooperative Muvuca</v>
      </c>
      <c r="N143" s="6">
        <f>_xlfn.XLOOKUP(E143,nom_commune,villes_clients!E:E)*2</f>
        <v>20.365399926691858</v>
      </c>
      <c r="O143" s="5">
        <f>IF(F143="train",G143,_xlfn.XLOOKUP(B143,Num_Projet,Projets!G:G,0,0)*N143)</f>
        <v>141.13222149197458</v>
      </c>
      <c r="P143" s="5">
        <f>_xlfn.XLOOKUP(_xlfn.XLOOKUP(E143,nom_commune,villes_clients!D:D,0,0),Seuil_population,Nuitée,0,1) * J143</f>
        <v>400</v>
      </c>
      <c r="Q143" s="5">
        <f>_xlfn.XLOOKUP( _xlfn.CONCAT(A143,"-",_xlfn.XLOOKUP(A143,Matr,Consultants!E:E) ),Dernier_contrat,Contrats!D:D,0,0) * IF(J143&gt;0,J143,1)</f>
        <v>1584</v>
      </c>
      <c r="R143" s="44">
        <f t="shared" si="5"/>
        <v>1989.849166118981</v>
      </c>
      <c r="S143" s="6">
        <f>( IF(F143="train", CO2_Train, _xlfn.XLOOKUP(I143,Immat_voitures,voitures_declarees!L:L,0,0)) * N143 ) / 1000</f>
        <v>2.2401939919361045</v>
      </c>
    </row>
    <row r="144" spans="1:19" x14ac:dyDescent="0.2">
      <c r="A144">
        <v>4751</v>
      </c>
      <c r="B144">
        <v>1309</v>
      </c>
      <c r="C144" s="3">
        <v>46378</v>
      </c>
      <c r="D144" s="3">
        <v>46387</v>
      </c>
      <c r="E144" t="s">
        <v>126</v>
      </c>
      <c r="F144" t="s">
        <v>82</v>
      </c>
      <c r="H144" t="s">
        <v>79</v>
      </c>
      <c r="I144" s="49" t="s">
        <v>86</v>
      </c>
      <c r="J144">
        <f t="shared" si="4"/>
        <v>7</v>
      </c>
      <c r="K144" t="str">
        <f>_xlfn.XLOOKUP($B144,Num_Projet,Projets!B:B,"Inexistant",0)</f>
        <v>Arc25</v>
      </c>
      <c r="L144" t="str">
        <f>_xlfn.XLOOKUP($B144,Num_Projet,Projets!C:C,"Inexistant",0)</f>
        <v>intelligence artificielle</v>
      </c>
      <c r="M144" t="str">
        <f>_xlfn.XLOOKUP($B144,Num_Projet,Projets!D:D,"Inexistant",0)</f>
        <v>Banque Invest</v>
      </c>
      <c r="N144" s="6">
        <f>_xlfn.XLOOKUP(E144,nom_commune,villes_clients!E:E)*2</f>
        <v>25.558114062238335</v>
      </c>
      <c r="O144" s="5">
        <f>IF(F144="train",G144,_xlfn.XLOOKUP(B144,Num_Projet,Projets!G:G,0,0)*N144)</f>
        <v>231.55651340387934</v>
      </c>
      <c r="P144" s="5">
        <f>_xlfn.XLOOKUP(_xlfn.XLOOKUP(E144,nom_commune,villes_clients!D:D,0,0),Seuil_population,Nuitée,0,1) * J144</f>
        <v>350</v>
      </c>
      <c r="Q144" s="5">
        <f>_xlfn.XLOOKUP( _xlfn.CONCAT(A144,"-",_xlfn.XLOOKUP(A144,Matr,Consultants!E:E) ),Dernier_contrat,Contrats!D:D,0,0) * IF(J144&gt;0,J144,1)</f>
        <v>1022</v>
      </c>
      <c r="R144" s="44">
        <f t="shared" si="5"/>
        <v>1603.5565134038793</v>
      </c>
      <c r="S144" s="6">
        <f>( IF(F144="train", CO2_Train, _xlfn.XLOOKUP(I144,Immat_voitures,voitures_declarees!L:L,0,0)) * N144 ) / 1000</f>
        <v>6.0572730327504853</v>
      </c>
    </row>
    <row r="145" spans="1:19" x14ac:dyDescent="0.2">
      <c r="A145">
        <v>3582</v>
      </c>
      <c r="B145">
        <v>9437</v>
      </c>
      <c r="C145" s="3">
        <v>46379</v>
      </c>
      <c r="D145" s="3">
        <v>46380</v>
      </c>
      <c r="E145" t="s">
        <v>163</v>
      </c>
      <c r="F145" t="s">
        <v>82</v>
      </c>
      <c r="H145" t="s">
        <v>85</v>
      </c>
      <c r="I145" s="49" t="s">
        <v>107</v>
      </c>
      <c r="J145">
        <f t="shared" si="4"/>
        <v>2</v>
      </c>
      <c r="K145" t="str">
        <f>_xlfn.XLOOKUP($B145,Num_Projet,Projets!B:B,"Inexistant",0)</f>
        <v>E30</v>
      </c>
      <c r="L145" t="str">
        <f>_xlfn.XLOOKUP($B145,Num_Projet,Projets!C:C,"Inexistant",0)</f>
        <v>gouvernance</v>
      </c>
      <c r="M145" t="str">
        <f>_xlfn.XLOOKUP($B145,Num_Projet,Projets!D:D,"Inexistant",0)</f>
        <v>Cooperative Muvuca</v>
      </c>
      <c r="N145" s="6">
        <f>_xlfn.XLOOKUP(E145,nom_commune,villes_clients!E:E)*2</f>
        <v>469.07794383041016</v>
      </c>
      <c r="O145" s="5">
        <f>IF(F145="train",G145,_xlfn.XLOOKUP(B145,Num_Projet,Projets!G:G,0,0)*N145)</f>
        <v>3250.7101507447424</v>
      </c>
      <c r="P145" s="5">
        <f>_xlfn.XLOOKUP(_xlfn.XLOOKUP(E145,nom_commune,villes_clients!D:D,0,0),Seuil_population,Nuitée,0,1) * J145</f>
        <v>150</v>
      </c>
      <c r="Q145" s="5">
        <f>_xlfn.XLOOKUP( _xlfn.CONCAT(A145,"-",_xlfn.XLOOKUP(A145,Matr,Consultants!E:E) ),Dernier_contrat,Contrats!D:D,0,0) * IF(J145&gt;0,J145,1)</f>
        <v>168</v>
      </c>
      <c r="R145" s="44">
        <f t="shared" si="5"/>
        <v>2718.5326130585568</v>
      </c>
      <c r="S145" s="6">
        <f>( IF(F145="train", CO2_Train, _xlfn.XLOOKUP(I145,Immat_voitures,voitures_declarees!L:L,0,0)) * N145 ) / 1000</f>
        <v>100.38267997970777</v>
      </c>
    </row>
    <row r="146" spans="1:19" x14ac:dyDescent="0.2">
      <c r="A146">
        <v>7954</v>
      </c>
      <c r="B146">
        <v>9256</v>
      </c>
      <c r="C146" s="3">
        <v>46380</v>
      </c>
      <c r="D146" s="3">
        <v>46387</v>
      </c>
      <c r="E146" t="s">
        <v>142</v>
      </c>
      <c r="F146" t="s">
        <v>82</v>
      </c>
      <c r="H146" t="s">
        <v>79</v>
      </c>
      <c r="I146" s="49" t="s">
        <v>112</v>
      </c>
      <c r="J146">
        <f t="shared" si="4"/>
        <v>5</v>
      </c>
      <c r="K146" t="str">
        <f>_xlfn.XLOOKUP($B146,Num_Projet,Projets!B:B,"Inexistant",0)</f>
        <v>Log2030</v>
      </c>
      <c r="L146" t="str">
        <f>_xlfn.XLOOKUP($B146,Num_Projet,Projets!C:C,"Inexistant",0)</f>
        <v>gouvernance</v>
      </c>
      <c r="M146" t="str">
        <f>_xlfn.XLOOKUP($B146,Num_Projet,Projets!D:D,"Inexistant",0)</f>
        <v>Banque Invest</v>
      </c>
      <c r="N146" s="6">
        <f>_xlfn.XLOOKUP(E146,nom_commune,villes_clients!E:E)*2</f>
        <v>587.06204843006071</v>
      </c>
      <c r="O146" s="5">
        <f>IF(F146="train",G146,_xlfn.XLOOKUP(B146,Num_Projet,Projets!G:G,0,0)*N146)</f>
        <v>3874.6095196384003</v>
      </c>
      <c r="P146" s="5">
        <f>_xlfn.XLOOKUP(_xlfn.XLOOKUP(E146,nom_commune,villes_clients!D:D,0,0),Seuil_population,Nuitée,0,1) * J146</f>
        <v>375</v>
      </c>
      <c r="Q146" s="5">
        <f>_xlfn.XLOOKUP( _xlfn.CONCAT(A146,"-",_xlfn.XLOOKUP(A146,Matr,Consultants!E:E) ),Dernier_contrat,Contrats!D:D,0,0) * IF(J146&gt;0,J146,1)</f>
        <v>575</v>
      </c>
      <c r="R146" s="44">
        <f t="shared" si="5"/>
        <v>4824.6095196384003</v>
      </c>
      <c r="S146" s="6">
        <f>( IF(F146="train", CO2_Train, _xlfn.XLOOKUP(I146,Immat_voitures,voitures_declarees!L:L,0,0)) * N146 ) / 1000</f>
        <v>60.467390988296252</v>
      </c>
    </row>
    <row r="147" spans="1:19" x14ac:dyDescent="0.2">
      <c r="A147">
        <v>4641</v>
      </c>
      <c r="B147">
        <v>7717</v>
      </c>
      <c r="C147" s="3">
        <v>46380</v>
      </c>
      <c r="D147" s="3">
        <v>46386</v>
      </c>
      <c r="E147" t="s">
        <v>141</v>
      </c>
      <c r="F147" t="s">
        <v>78</v>
      </c>
      <c r="G147" s="5">
        <v>272.82</v>
      </c>
      <c r="H147" t="s">
        <v>79</v>
      </c>
      <c r="J147">
        <f t="shared" si="4"/>
        <v>4</v>
      </c>
      <c r="K147" t="str">
        <f>_xlfn.XLOOKUP($B147,Num_Projet,Projets!B:B,"Inexistant",0)</f>
        <v>Alpha</v>
      </c>
      <c r="L147" t="str">
        <f>_xlfn.XLOOKUP($B147,Num_Projet,Projets!C:C,"Inexistant",0)</f>
        <v>gouvernance</v>
      </c>
      <c r="M147" t="str">
        <f>_xlfn.XLOOKUP($B147,Num_Projet,Projets!D:D,"Inexistant",0)</f>
        <v>Industries Nova Tech</v>
      </c>
      <c r="N147" s="6">
        <f>_xlfn.XLOOKUP(E147,nom_commune,villes_clients!E:E)*2</f>
        <v>492.25514367701084</v>
      </c>
      <c r="O147" s="5">
        <f>IF(F147="train",G147,_xlfn.XLOOKUP(B147,Num_Projet,Projets!G:G,0,0)*N147)</f>
        <v>272.82</v>
      </c>
      <c r="P147" s="5">
        <f>_xlfn.XLOOKUP(_xlfn.XLOOKUP(E147,nom_commune,villes_clients!D:D,0,0),Seuil_population,Nuitée,0,1) * J147</f>
        <v>200</v>
      </c>
      <c r="Q147" s="5">
        <f>_xlfn.XLOOKUP( _xlfn.CONCAT(A147,"-",_xlfn.XLOOKUP(A147,Matr,Consultants!E:E) ),Dernier_contrat,Contrats!D:D,0,0) * IF(J147&gt;0,J147,1)</f>
        <v>548</v>
      </c>
      <c r="R147" s="44">
        <f t="shared" si="5"/>
        <v>1020.8199999999999</v>
      </c>
      <c r="S147" s="6">
        <f>( IF(F147="train", CO2_Train, _xlfn.XLOOKUP(I147,Immat_voitures,voitures_declarees!L:L,0,0)) * N147 ) / 1000</f>
        <v>0.98451028735402168</v>
      </c>
    </row>
    <row r="148" spans="1:19" x14ac:dyDescent="0.2">
      <c r="A148">
        <v>4744</v>
      </c>
      <c r="B148">
        <v>4125</v>
      </c>
      <c r="C148" s="3">
        <v>46385</v>
      </c>
      <c r="D148" s="3">
        <v>46395</v>
      </c>
      <c r="E148" t="s">
        <v>177</v>
      </c>
      <c r="F148" t="s">
        <v>82</v>
      </c>
      <c r="H148" t="s">
        <v>85</v>
      </c>
      <c r="I148" s="49" t="s">
        <v>88</v>
      </c>
      <c r="J148">
        <f t="shared" si="4"/>
        <v>8</v>
      </c>
      <c r="K148" t="str">
        <f>_xlfn.XLOOKUP($B148,Num_Projet,Projets!B:B,"Inexistant",0)</f>
        <v>ADV</v>
      </c>
      <c r="L148" t="str">
        <f>_xlfn.XLOOKUP($B148,Num_Projet,Projets!C:C,"Inexistant",0)</f>
        <v>gouvernance</v>
      </c>
      <c r="M148" t="str">
        <f>_xlfn.XLOOKUP($B148,Num_Projet,Projets!D:D,"Inexistant",0)</f>
        <v>Industries Nova Tech</v>
      </c>
      <c r="N148" s="6">
        <f>_xlfn.XLOOKUP(E148,nom_commune,villes_clients!E:E)*2</f>
        <v>406.90584632466727</v>
      </c>
      <c r="O148" s="5">
        <f>IF(F148="train",G148,_xlfn.XLOOKUP(B148,Num_Projet,Projets!G:G,0,0)*N148)</f>
        <v>3283.7301798400649</v>
      </c>
      <c r="P148" s="5">
        <f>_xlfn.XLOOKUP(_xlfn.XLOOKUP(E148,nom_commune,villes_clients!D:D,0,0),Seuil_population,Nuitée,0,1) * J148</f>
        <v>600</v>
      </c>
      <c r="Q148" s="5">
        <f>_xlfn.XLOOKUP( _xlfn.CONCAT(A148,"-",_xlfn.XLOOKUP(A148,Matr,Consultants!E:E) ),Dernier_contrat,Contrats!D:D,0,0) * IF(J148&gt;0,J148,1)</f>
        <v>1016</v>
      </c>
      <c r="R148" s="44">
        <f t="shared" si="5"/>
        <v>3928.7976348800485</v>
      </c>
      <c r="S148" s="6">
        <f>( IF(F148="train", CO2_Train, _xlfn.XLOOKUP(I148,Immat_voitures,voitures_declarees!L:L,0,0)) * N148 ) / 1000</f>
        <v>44.7596430957134</v>
      </c>
    </row>
    <row r="149" spans="1:19" x14ac:dyDescent="0.2">
      <c r="A149">
        <v>8195</v>
      </c>
      <c r="B149">
        <v>5674</v>
      </c>
      <c r="C149" s="3">
        <v>46385</v>
      </c>
      <c r="D149" s="3">
        <v>46399</v>
      </c>
      <c r="E149" t="s">
        <v>126</v>
      </c>
      <c r="F149" t="s">
        <v>82</v>
      </c>
      <c r="H149" t="s">
        <v>79</v>
      </c>
      <c r="I149" s="49" t="s">
        <v>114</v>
      </c>
      <c r="J149">
        <f t="shared" si="4"/>
        <v>10</v>
      </c>
      <c r="K149" t="str">
        <f>_xlfn.XLOOKUP($B149,Num_Projet,Projets!B:B,"Inexistant",0)</f>
        <v>SuiviConso</v>
      </c>
      <c r="L149" t="str">
        <f>_xlfn.XLOOKUP($B149,Num_Projet,Projets!C:C,"Inexistant",0)</f>
        <v>gouvernance</v>
      </c>
      <c r="M149" t="str">
        <f>_xlfn.XLOOKUP($B149,Num_Projet,Projets!D:D,"Inexistant",0)</f>
        <v>Banque Invest</v>
      </c>
      <c r="N149" s="6">
        <f>_xlfn.XLOOKUP(E149,nom_commune,villes_clients!E:E)*2</f>
        <v>25.558114062238335</v>
      </c>
      <c r="O149" s="5">
        <f>IF(F149="train",G149,_xlfn.XLOOKUP(B149,Num_Projet,Projets!G:G,0,0)*N149)</f>
        <v>294.42947399698562</v>
      </c>
      <c r="P149" s="5">
        <f>_xlfn.XLOOKUP(_xlfn.XLOOKUP(E149,nom_commune,villes_clients!D:D,0,0),Seuil_population,Nuitée,0,1) * J149</f>
        <v>500</v>
      </c>
      <c r="Q149" s="5">
        <f>_xlfn.XLOOKUP( _xlfn.CONCAT(A149,"-",_xlfn.XLOOKUP(A149,Matr,Consultants!E:E) ),Dernier_contrat,Contrats!D:D,0,0) * IF(J149&gt;0,J149,1)</f>
        <v>1270</v>
      </c>
      <c r="R149" s="44">
        <f t="shared" si="5"/>
        <v>2064.4294739969855</v>
      </c>
      <c r="S149" s="6">
        <f>( IF(F149="train", CO2_Train, _xlfn.XLOOKUP(I149,Immat_voitures,voitures_declarees!L:L,0,0)) * N149 ) / 1000</f>
        <v>5.111622812447667</v>
      </c>
    </row>
    <row r="150" spans="1:19" x14ac:dyDescent="0.2">
      <c r="A150">
        <v>5607</v>
      </c>
      <c r="B150">
        <v>6665</v>
      </c>
      <c r="C150" s="3">
        <v>46391</v>
      </c>
      <c r="D150" s="3">
        <v>46404</v>
      </c>
      <c r="E150" t="s">
        <v>154</v>
      </c>
      <c r="F150" t="s">
        <v>82</v>
      </c>
      <c r="H150" t="s">
        <v>79</v>
      </c>
      <c r="I150" s="49" t="s">
        <v>86</v>
      </c>
      <c r="J150">
        <f t="shared" si="4"/>
        <v>10</v>
      </c>
      <c r="K150" t="str">
        <f>_xlfn.XLOOKUP($B150,Num_Projet,Projets!B:B,"Inexistant",0)</f>
        <v>Orion</v>
      </c>
      <c r="L150" t="str">
        <f>_xlfn.XLOOKUP($B150,Num_Projet,Projets!C:C,"Inexistant",0)</f>
        <v>gouvernance</v>
      </c>
      <c r="M150" t="str">
        <f>_xlfn.XLOOKUP($B150,Num_Projet,Projets!D:D,"Inexistant",0)</f>
        <v>Industries Nova Tech</v>
      </c>
      <c r="N150" s="6">
        <f>_xlfn.XLOOKUP(E150,nom_commune,villes_clients!E:E)*2</f>
        <v>57.50657668707499</v>
      </c>
      <c r="O150" s="5">
        <f>IF(F150="train",G150,_xlfn.XLOOKUP(B150,Num_Projet,Projets!G:G,0,0)*N150)</f>
        <v>683.75319680932171</v>
      </c>
      <c r="P150" s="5">
        <f>_xlfn.XLOOKUP(_xlfn.XLOOKUP(E150,nom_commune,villes_clients!D:D,0,0),Seuil_population,Nuitée,0,1) * J150</f>
        <v>500</v>
      </c>
      <c r="Q150" s="5">
        <f>_xlfn.XLOOKUP( _xlfn.CONCAT(A150,"-",_xlfn.XLOOKUP(A150,Matr,Consultants!E:E) ),Dernier_contrat,Contrats!D:D,0,0) * IF(J150&gt;0,J150,1)</f>
        <v>1040</v>
      </c>
      <c r="R150" s="44">
        <f t="shared" si="5"/>
        <v>2223.7531968093217</v>
      </c>
      <c r="S150" s="6">
        <f>( IF(F150="train", CO2_Train, _xlfn.XLOOKUP(I150,Immat_voitures,voitures_declarees!L:L,0,0)) * N150 ) / 1000</f>
        <v>13.629058674836774</v>
      </c>
    </row>
    <row r="151" spans="1:19" x14ac:dyDescent="0.2">
      <c r="A151">
        <v>3137</v>
      </c>
      <c r="B151">
        <v>4125</v>
      </c>
      <c r="C151" s="3">
        <v>46392</v>
      </c>
      <c r="D151" s="3">
        <v>46406</v>
      </c>
      <c r="E151" t="s">
        <v>93</v>
      </c>
      <c r="F151" t="s">
        <v>82</v>
      </c>
      <c r="H151" t="s">
        <v>79</v>
      </c>
      <c r="I151" s="49" t="s">
        <v>94</v>
      </c>
      <c r="J151">
        <f t="shared" si="4"/>
        <v>11</v>
      </c>
      <c r="K151" t="str">
        <f>_xlfn.XLOOKUP($B151,Num_Projet,Projets!B:B,"Inexistant",0)</f>
        <v>ADV</v>
      </c>
      <c r="L151" t="str">
        <f>_xlfn.XLOOKUP($B151,Num_Projet,Projets!C:C,"Inexistant",0)</f>
        <v>gouvernance</v>
      </c>
      <c r="M151" t="str">
        <f>_xlfn.XLOOKUP($B151,Num_Projet,Projets!D:D,"Inexistant",0)</f>
        <v>Industries Nova Tech</v>
      </c>
      <c r="N151" s="6">
        <f>_xlfn.XLOOKUP(E151,nom_commune,villes_clients!E:E)*2</f>
        <v>1014.985612721831</v>
      </c>
      <c r="O151" s="5">
        <f>IF(F151="train",G151,_xlfn.XLOOKUP(B151,Num_Projet,Projets!G:G,0,0)*N151)</f>
        <v>8190.933894665176</v>
      </c>
      <c r="P151" s="5">
        <f>_xlfn.XLOOKUP(_xlfn.XLOOKUP(E151,nom_commune,villes_clients!D:D,0,0),Seuil_population,Nuitée,0,1) * J151</f>
        <v>550</v>
      </c>
      <c r="Q151" s="5">
        <f>_xlfn.XLOOKUP( _xlfn.CONCAT(A151,"-",_xlfn.XLOOKUP(A151,Matr,Consultants!E:E) ),Dernier_contrat,Contrats!D:D,0,0) * IF(J151&gt;0,J151,1)</f>
        <v>2156</v>
      </c>
      <c r="R151" s="44">
        <f t="shared" si="5"/>
        <v>10896.933894665177</v>
      </c>
      <c r="S151" s="6">
        <f>( IF(F151="train", CO2_Train, _xlfn.XLOOKUP(I151,Immat_voitures,voitures_declarees!L:L,0,0)) * N151 ) / 1000</f>
        <v>165.44265487365843</v>
      </c>
    </row>
    <row r="152" spans="1:19" x14ac:dyDescent="0.2">
      <c r="A152">
        <v>8810</v>
      </c>
      <c r="B152">
        <v>7717</v>
      </c>
      <c r="C152" s="3">
        <v>46392</v>
      </c>
      <c r="D152" s="3">
        <v>46405</v>
      </c>
      <c r="E152" t="s">
        <v>148</v>
      </c>
      <c r="F152" t="s">
        <v>82</v>
      </c>
      <c r="H152" t="s">
        <v>79</v>
      </c>
      <c r="I152" s="49" t="s">
        <v>86</v>
      </c>
      <c r="J152">
        <f t="shared" si="4"/>
        <v>10</v>
      </c>
      <c r="K152" t="str">
        <f>_xlfn.XLOOKUP($B152,Num_Projet,Projets!B:B,"Inexistant",0)</f>
        <v>Alpha</v>
      </c>
      <c r="L152" t="str">
        <f>_xlfn.XLOOKUP($B152,Num_Projet,Projets!C:C,"Inexistant",0)</f>
        <v>gouvernance</v>
      </c>
      <c r="M152" t="str">
        <f>_xlfn.XLOOKUP($B152,Num_Projet,Projets!D:D,"Inexistant",0)</f>
        <v>Industries Nova Tech</v>
      </c>
      <c r="N152" s="6">
        <f>_xlfn.XLOOKUP(E152,nom_commune,villes_clients!E:E)*2</f>
        <v>29.145703495728728</v>
      </c>
      <c r="O152" s="5">
        <f>IF(F152="train",G152,_xlfn.XLOOKUP(B152,Num_Projet,Projets!G:G,0,0)*N152)</f>
        <v>245.40682343403589</v>
      </c>
      <c r="P152" s="5">
        <f>_xlfn.XLOOKUP(_xlfn.XLOOKUP(E152,nom_commune,villes_clients!D:D,0,0),Seuil_population,Nuitée,0,1) * J152</f>
        <v>500</v>
      </c>
      <c r="Q152" s="5">
        <f>_xlfn.XLOOKUP( _xlfn.CONCAT(A152,"-",_xlfn.XLOOKUP(A152,Matr,Consultants!E:E) ),Dernier_contrat,Contrats!D:D,0,0) * IF(J152&gt;0,J152,1)</f>
        <v>1870</v>
      </c>
      <c r="R152" s="44">
        <f t="shared" si="5"/>
        <v>2615.4068234340357</v>
      </c>
      <c r="S152" s="6">
        <f>( IF(F152="train", CO2_Train, _xlfn.XLOOKUP(I152,Immat_voitures,voitures_declarees!L:L,0,0)) * N152 ) / 1000</f>
        <v>6.907531728487708</v>
      </c>
    </row>
    <row r="153" spans="1:19" x14ac:dyDescent="0.2">
      <c r="A153">
        <v>8988</v>
      </c>
      <c r="B153">
        <v>4687</v>
      </c>
      <c r="C153" s="3">
        <v>46392</v>
      </c>
      <c r="D153" s="3">
        <v>46397</v>
      </c>
      <c r="E153" t="s">
        <v>175</v>
      </c>
      <c r="F153" t="s">
        <v>82</v>
      </c>
      <c r="H153" t="s">
        <v>79</v>
      </c>
      <c r="I153" s="49" t="s">
        <v>114</v>
      </c>
      <c r="J153">
        <f t="shared" si="4"/>
        <v>4</v>
      </c>
      <c r="K153" t="str">
        <f>_xlfn.XLOOKUP($B153,Num_Projet,Projets!B:B,"Inexistant",0)</f>
        <v>Mirage</v>
      </c>
      <c r="L153" t="str">
        <f>_xlfn.XLOOKUP($B153,Num_Projet,Projets!C:C,"Inexistant",0)</f>
        <v>cybersécurité</v>
      </c>
      <c r="M153" t="str">
        <f>_xlfn.XLOOKUP($B153,Num_Projet,Projets!D:D,"Inexistant",0)</f>
        <v>Banque Invest</v>
      </c>
      <c r="N153" s="6">
        <f>_xlfn.XLOOKUP(E153,nom_commune,villes_clients!E:E)*2</f>
        <v>10.227525426302542</v>
      </c>
      <c r="O153" s="5">
        <f>IF(F153="train",G153,_xlfn.XLOOKUP(B153,Num_Projet,Projets!G:G,0,0)*N153)</f>
        <v>86.729415615045554</v>
      </c>
      <c r="P153" s="5">
        <f>_xlfn.XLOOKUP(_xlfn.XLOOKUP(E153,nom_commune,villes_clients!D:D,0,0),Seuil_population,Nuitée,0,1) * J153</f>
        <v>200</v>
      </c>
      <c r="Q153" s="5">
        <f>_xlfn.XLOOKUP( _xlfn.CONCAT(A153,"-",_xlfn.XLOOKUP(A153,Matr,Consultants!E:E) ),Dernier_contrat,Contrats!D:D,0,0) * IF(J153&gt;0,J153,1)</f>
        <v>792</v>
      </c>
      <c r="R153" s="44">
        <f t="shared" si="5"/>
        <v>1078.7294156150456</v>
      </c>
      <c r="S153" s="6">
        <f>( IF(F153="train", CO2_Train, _xlfn.XLOOKUP(I153,Immat_voitures,voitures_declarees!L:L,0,0)) * N153 ) / 1000</f>
        <v>2.0455050852605083</v>
      </c>
    </row>
    <row r="154" spans="1:19" x14ac:dyDescent="0.2">
      <c r="A154">
        <v>5211</v>
      </c>
      <c r="B154">
        <v>3850</v>
      </c>
      <c r="C154" s="3">
        <v>46395</v>
      </c>
      <c r="D154" s="3">
        <v>46409</v>
      </c>
      <c r="E154" t="s">
        <v>156</v>
      </c>
      <c r="F154" t="s">
        <v>82</v>
      </c>
      <c r="H154" t="s">
        <v>85</v>
      </c>
      <c r="I154" s="49" t="s">
        <v>86</v>
      </c>
      <c r="J154">
        <f t="shared" si="4"/>
        <v>11</v>
      </c>
      <c r="K154" t="str">
        <f>_xlfn.XLOOKUP($B154,Num_Projet,Projets!B:B,"Inexistant",0)</f>
        <v>Hercules</v>
      </c>
      <c r="L154" t="str">
        <f>_xlfn.XLOOKUP($B154,Num_Projet,Projets!C:C,"Inexistant",0)</f>
        <v>cybersécurité</v>
      </c>
      <c r="M154" t="str">
        <f>_xlfn.XLOOKUP($B154,Num_Projet,Projets!D:D,"Inexistant",0)</f>
        <v>Société AHT</v>
      </c>
      <c r="N154" s="6">
        <f>_xlfn.XLOOKUP(E154,nom_commune,villes_clients!E:E)*2</f>
        <v>15.26295174754731</v>
      </c>
      <c r="O154" s="5">
        <f>IF(F154="train",G154,_xlfn.XLOOKUP(B154,Num_Projet,Projets!G:G,0,0)*N154)</f>
        <v>180.40808965600922</v>
      </c>
      <c r="P154" s="5">
        <f>_xlfn.XLOOKUP(_xlfn.XLOOKUP(E154,nom_commune,villes_clients!D:D,0,0),Seuil_population,Nuitée,0,1) * J154</f>
        <v>825</v>
      </c>
      <c r="Q154" s="5">
        <f>_xlfn.XLOOKUP( _xlfn.CONCAT(A154,"-",_xlfn.XLOOKUP(A154,Matr,Consultants!E:E) ),Dernier_contrat,Contrats!D:D,0,0) * IF(J154&gt;0,J154,1)</f>
        <v>1947</v>
      </c>
      <c r="R154" s="44">
        <f t="shared" si="5"/>
        <v>2701.056067242007</v>
      </c>
      <c r="S154" s="6">
        <f>( IF(F154="train", CO2_Train, _xlfn.XLOOKUP(I154,Immat_voitures,voitures_declarees!L:L,0,0)) * N154 ) / 1000</f>
        <v>3.6173195641687124</v>
      </c>
    </row>
    <row r="155" spans="1:19" x14ac:dyDescent="0.2">
      <c r="A155">
        <v>4641</v>
      </c>
      <c r="B155">
        <v>9437</v>
      </c>
      <c r="C155" s="3">
        <v>46398</v>
      </c>
      <c r="D155" s="3">
        <v>46406</v>
      </c>
      <c r="E155" t="s">
        <v>133</v>
      </c>
      <c r="F155" t="s">
        <v>82</v>
      </c>
      <c r="H155" t="s">
        <v>79</v>
      </c>
      <c r="I155" s="49" t="s">
        <v>83</v>
      </c>
      <c r="J155">
        <f t="shared" si="4"/>
        <v>7</v>
      </c>
      <c r="K155" t="str">
        <f>_xlfn.XLOOKUP($B155,Num_Projet,Projets!B:B,"Inexistant",0)</f>
        <v>E30</v>
      </c>
      <c r="L155" t="str">
        <f>_xlfn.XLOOKUP($B155,Num_Projet,Projets!C:C,"Inexistant",0)</f>
        <v>gouvernance</v>
      </c>
      <c r="M155" t="str">
        <f>_xlfn.XLOOKUP($B155,Num_Projet,Projets!D:D,"Inexistant",0)</f>
        <v>Cooperative Muvuca</v>
      </c>
      <c r="N155" s="6">
        <f>_xlfn.XLOOKUP(E155,nom_commune,villes_clients!E:E)*2</f>
        <v>20.412162969195503</v>
      </c>
      <c r="O155" s="5">
        <f>IF(F155="train",G155,_xlfn.XLOOKUP(B155,Num_Projet,Projets!G:G,0,0)*N155)</f>
        <v>141.45628937652484</v>
      </c>
      <c r="P155" s="5">
        <f>_xlfn.XLOOKUP(_xlfn.XLOOKUP(E155,nom_commune,villes_clients!D:D,0,0),Seuil_population,Nuitée,0,1) * J155</f>
        <v>525</v>
      </c>
      <c r="Q155" s="5">
        <f>_xlfn.XLOOKUP( _xlfn.CONCAT(A155,"-",_xlfn.XLOOKUP(A155,Matr,Consultants!E:E) ),Dernier_contrat,Contrats!D:D,0,0) * IF(J155&gt;0,J155,1)</f>
        <v>959</v>
      </c>
      <c r="R155" s="44">
        <f t="shared" si="5"/>
        <v>1625.4562893765249</v>
      </c>
      <c r="S155" s="6">
        <f>( IF(F155="train", CO2_Train, _xlfn.XLOOKUP(I155,Immat_voitures,voitures_declarees!L:L,0,0)) * N155 ) / 1000</f>
        <v>3.653777171485995</v>
      </c>
    </row>
    <row r="156" spans="1:19" x14ac:dyDescent="0.2">
      <c r="A156">
        <v>4744</v>
      </c>
      <c r="B156">
        <v>1309</v>
      </c>
      <c r="C156" s="3">
        <v>46398</v>
      </c>
      <c r="D156" s="3">
        <v>46398</v>
      </c>
      <c r="E156" t="s">
        <v>117</v>
      </c>
      <c r="F156" t="s">
        <v>82</v>
      </c>
      <c r="H156" t="s">
        <v>85</v>
      </c>
      <c r="I156" s="49" t="s">
        <v>92</v>
      </c>
      <c r="J156">
        <f t="shared" si="4"/>
        <v>1</v>
      </c>
      <c r="K156" t="str">
        <f>_xlfn.XLOOKUP($B156,Num_Projet,Projets!B:B,"Inexistant",0)</f>
        <v>Arc25</v>
      </c>
      <c r="L156" t="str">
        <f>_xlfn.XLOOKUP($B156,Num_Projet,Projets!C:C,"Inexistant",0)</f>
        <v>intelligence artificielle</v>
      </c>
      <c r="M156" t="str">
        <f>_xlfn.XLOOKUP($B156,Num_Projet,Projets!D:D,"Inexistant",0)</f>
        <v>Banque Invest</v>
      </c>
      <c r="N156" s="6">
        <f>_xlfn.XLOOKUP(E156,nom_commune,villes_clients!E:E)*2</f>
        <v>23.369681001270123</v>
      </c>
      <c r="O156" s="5">
        <f>IF(F156="train",G156,_xlfn.XLOOKUP(B156,Num_Projet,Projets!G:G,0,0)*N156)</f>
        <v>211.72930987150733</v>
      </c>
      <c r="P156" s="5">
        <f>_xlfn.XLOOKUP(_xlfn.XLOOKUP(E156,nom_commune,villes_clients!D:D,0,0),Seuil_population,Nuitée,0,1) * J156</f>
        <v>50</v>
      </c>
      <c r="Q156" s="5">
        <f>_xlfn.XLOOKUP( _xlfn.CONCAT(A156,"-",_xlfn.XLOOKUP(A156,Matr,Consultants!E:E) ),Dernier_contrat,Contrats!D:D,0,0) * IF(J156&gt;0,J156,1)</f>
        <v>127</v>
      </c>
      <c r="R156" s="44">
        <f t="shared" si="5"/>
        <v>323.29698240363052</v>
      </c>
      <c r="S156" s="6">
        <f>( IF(F156="train", CO2_Train, _xlfn.XLOOKUP(I156,Immat_voitures,voitures_declarees!L:L,0,0)) * N156 ) / 1000</f>
        <v>3.622300555196869</v>
      </c>
    </row>
    <row r="157" spans="1:19" x14ac:dyDescent="0.2">
      <c r="A157">
        <v>6423</v>
      </c>
      <c r="B157">
        <v>8140</v>
      </c>
      <c r="C157" s="3">
        <v>46399</v>
      </c>
      <c r="D157" s="3">
        <v>46412</v>
      </c>
      <c r="E157" t="s">
        <v>116</v>
      </c>
      <c r="F157" t="s">
        <v>78</v>
      </c>
      <c r="G157" s="5">
        <v>311.74</v>
      </c>
      <c r="H157" t="s">
        <v>79</v>
      </c>
      <c r="J157">
        <f t="shared" si="4"/>
        <v>10</v>
      </c>
      <c r="K157" t="str">
        <f>_xlfn.XLOOKUP($B157,Num_Projet,Projets!B:B,"Inexistant",0)</f>
        <v>Beta</v>
      </c>
      <c r="L157" t="str">
        <f>_xlfn.XLOOKUP($B157,Num_Projet,Projets!C:C,"Inexistant",0)</f>
        <v>systèmes d'information</v>
      </c>
      <c r="M157" t="str">
        <f>_xlfn.XLOOKUP($B157,Num_Projet,Projets!D:D,"Inexistant",0)</f>
        <v>Société AHT</v>
      </c>
      <c r="N157" s="6">
        <f>_xlfn.XLOOKUP(E157,nom_commune,villes_clients!E:E)*2</f>
        <v>430.97127785734853</v>
      </c>
      <c r="O157" s="5">
        <f>IF(F157="train",G157,_xlfn.XLOOKUP(B157,Num_Projet,Projets!G:G,0,0)*N157)</f>
        <v>311.74</v>
      </c>
      <c r="P157" s="5">
        <f>_xlfn.XLOOKUP(_xlfn.XLOOKUP(E157,nom_commune,villes_clients!D:D,0,0),Seuil_population,Nuitée,0,1) * J157</f>
        <v>750</v>
      </c>
      <c r="Q157" s="5">
        <f>_xlfn.XLOOKUP( _xlfn.CONCAT(A157,"-",_xlfn.XLOOKUP(A157,Matr,Consultants!E:E) ),Dernier_contrat,Contrats!D:D,0,0) * IF(J157&gt;0,J157,1)</f>
        <v>2090</v>
      </c>
      <c r="R157" s="44">
        <f t="shared" si="5"/>
        <v>3151.74</v>
      </c>
      <c r="S157" s="6">
        <f>( IF(F157="train", CO2_Train, _xlfn.XLOOKUP(I157,Immat_voitures,voitures_declarees!L:L,0,0)) * N157 ) / 1000</f>
        <v>0.86194255571469702</v>
      </c>
    </row>
    <row r="158" spans="1:19" x14ac:dyDescent="0.2">
      <c r="A158">
        <v>4359</v>
      </c>
      <c r="B158">
        <v>6665</v>
      </c>
      <c r="C158" s="3">
        <v>46399</v>
      </c>
      <c r="D158" s="3">
        <v>46405</v>
      </c>
      <c r="E158" t="s">
        <v>154</v>
      </c>
      <c r="F158" t="s">
        <v>82</v>
      </c>
      <c r="H158" t="s">
        <v>85</v>
      </c>
      <c r="I158" s="49" t="s">
        <v>102</v>
      </c>
      <c r="J158">
        <f t="shared" si="4"/>
        <v>5</v>
      </c>
      <c r="K158" t="str">
        <f>_xlfn.XLOOKUP($B158,Num_Projet,Projets!B:B,"Inexistant",0)</f>
        <v>Orion</v>
      </c>
      <c r="L158" t="str">
        <f>_xlfn.XLOOKUP($B158,Num_Projet,Projets!C:C,"Inexistant",0)</f>
        <v>gouvernance</v>
      </c>
      <c r="M158" t="str">
        <f>_xlfn.XLOOKUP($B158,Num_Projet,Projets!D:D,"Inexistant",0)</f>
        <v>Industries Nova Tech</v>
      </c>
      <c r="N158" s="6">
        <f>_xlfn.XLOOKUP(E158,nom_commune,villes_clients!E:E)*2</f>
        <v>57.50657668707499</v>
      </c>
      <c r="O158" s="5">
        <f>IF(F158="train",G158,_xlfn.XLOOKUP(B158,Num_Projet,Projets!G:G,0,0)*N158)</f>
        <v>683.75319680932171</v>
      </c>
      <c r="P158" s="5">
        <f>_xlfn.XLOOKUP(_xlfn.XLOOKUP(E158,nom_commune,villes_clients!D:D,0,0),Seuil_population,Nuitée,0,1) * J158</f>
        <v>250</v>
      </c>
      <c r="Q158" s="5">
        <f>_xlfn.XLOOKUP( _xlfn.CONCAT(A158,"-",_xlfn.XLOOKUP(A158,Matr,Consultants!E:E) ),Dernier_contrat,Contrats!D:D,0,0) * IF(J158&gt;0,J158,1)</f>
        <v>510</v>
      </c>
      <c r="R158" s="44">
        <f t="shared" si="5"/>
        <v>1210.3148976069913</v>
      </c>
      <c r="S158" s="6">
        <f>( IF(F158="train", CO2_Train, _xlfn.XLOOKUP(I158,Immat_voitures,voitures_declarees!L:L,0,0)) * N158 ) / 1000</f>
        <v>11.788848220850374</v>
      </c>
    </row>
    <row r="159" spans="1:19" x14ac:dyDescent="0.2">
      <c r="A159">
        <v>4744</v>
      </c>
      <c r="B159">
        <v>7371</v>
      </c>
      <c r="C159" s="3">
        <v>46400</v>
      </c>
      <c r="D159" s="3">
        <v>46413</v>
      </c>
      <c r="E159" t="s">
        <v>135</v>
      </c>
      <c r="F159" t="s">
        <v>78</v>
      </c>
      <c r="G159" s="5">
        <v>212.89</v>
      </c>
      <c r="H159" t="s">
        <v>79</v>
      </c>
      <c r="J159">
        <f t="shared" si="4"/>
        <v>10</v>
      </c>
      <c r="K159" t="str">
        <f>_xlfn.XLOOKUP($B159,Num_Projet,Projets!B:B,"Inexistant",0)</f>
        <v>Infra2</v>
      </c>
      <c r="L159" t="str">
        <f>_xlfn.XLOOKUP($B159,Num_Projet,Projets!C:C,"Inexistant",0)</f>
        <v>cybersécurité</v>
      </c>
      <c r="M159" t="str">
        <f>_xlfn.XLOOKUP($B159,Num_Projet,Projets!D:D,"Inexistant",0)</f>
        <v>Société AHT</v>
      </c>
      <c r="N159" s="6">
        <f>_xlfn.XLOOKUP(E159,nom_commune,villes_clients!E:E)*2</f>
        <v>800.05371112944306</v>
      </c>
      <c r="O159" s="5">
        <f>IF(F159="train",G159,_xlfn.XLOOKUP(B159,Num_Projet,Projets!G:G,0,0)*N159)</f>
        <v>212.89</v>
      </c>
      <c r="P159" s="5">
        <f>_xlfn.XLOOKUP(_xlfn.XLOOKUP(E159,nom_commune,villes_clients!D:D,0,0),Seuil_population,Nuitée,0,1) * J159</f>
        <v>750</v>
      </c>
      <c r="Q159" s="5">
        <f>_xlfn.XLOOKUP( _xlfn.CONCAT(A159,"-",_xlfn.XLOOKUP(A159,Matr,Consultants!E:E) ),Dernier_contrat,Contrats!D:D,0,0) * IF(J159&gt;0,J159,1)</f>
        <v>1270</v>
      </c>
      <c r="R159" s="44">
        <f t="shared" si="5"/>
        <v>2232.89</v>
      </c>
      <c r="S159" s="6">
        <f>( IF(F159="train", CO2_Train, _xlfn.XLOOKUP(I159,Immat_voitures,voitures_declarees!L:L,0,0)) * N159 ) / 1000</f>
        <v>1.600107422258886</v>
      </c>
    </row>
    <row r="160" spans="1:19" x14ac:dyDescent="0.2">
      <c r="A160">
        <v>3582</v>
      </c>
      <c r="B160">
        <v>8140</v>
      </c>
      <c r="C160" s="3">
        <v>46404</v>
      </c>
      <c r="D160" s="3">
        <v>46412</v>
      </c>
      <c r="E160" t="s">
        <v>99</v>
      </c>
      <c r="F160" t="s">
        <v>82</v>
      </c>
      <c r="H160" t="s">
        <v>79</v>
      </c>
      <c r="I160" s="49" t="s">
        <v>94</v>
      </c>
      <c r="J160">
        <f t="shared" si="4"/>
        <v>6</v>
      </c>
      <c r="K160" t="str">
        <f>_xlfn.XLOOKUP($B160,Num_Projet,Projets!B:B,"Inexistant",0)</f>
        <v>Beta</v>
      </c>
      <c r="L160" t="str">
        <f>_xlfn.XLOOKUP($B160,Num_Projet,Projets!C:C,"Inexistant",0)</f>
        <v>systèmes d'information</v>
      </c>
      <c r="M160" t="str">
        <f>_xlfn.XLOOKUP($B160,Num_Projet,Projets!D:D,"Inexistant",0)</f>
        <v>Société AHT</v>
      </c>
      <c r="N160" s="6">
        <f>_xlfn.XLOOKUP(E160,nom_commune,villes_clients!E:E)*2</f>
        <v>401.30764654622021</v>
      </c>
      <c r="O160" s="5">
        <f>IF(F160="train",G160,_xlfn.XLOOKUP(B160,Num_Projet,Projets!G:G,0,0)*N160)</f>
        <v>3154.278101853291</v>
      </c>
      <c r="P160" s="5">
        <f>_xlfn.XLOOKUP(_xlfn.XLOOKUP(E160,nom_commune,villes_clients!D:D,0,0),Seuil_population,Nuitée,0,1) * J160</f>
        <v>300</v>
      </c>
      <c r="Q160" s="5">
        <f>_xlfn.XLOOKUP( _xlfn.CONCAT(A160,"-",_xlfn.XLOOKUP(A160,Matr,Consultants!E:E) ),Dernier_contrat,Contrats!D:D,0,0) * IF(J160&gt;0,J160,1)</f>
        <v>504</v>
      </c>
      <c r="R160" s="44">
        <f t="shared" si="5"/>
        <v>3958.278101853291</v>
      </c>
      <c r="S160" s="6">
        <f>( IF(F160="train", CO2_Train, _xlfn.XLOOKUP(I160,Immat_voitures,voitures_declarees!L:L,0,0)) * N160 ) / 1000</f>
        <v>65.413146387033891</v>
      </c>
    </row>
    <row r="161" spans="1:19" x14ac:dyDescent="0.2">
      <c r="A161">
        <v>3772</v>
      </c>
      <c r="B161">
        <v>7371</v>
      </c>
      <c r="C161" s="3">
        <v>46404</v>
      </c>
      <c r="D161" s="3">
        <v>46412</v>
      </c>
      <c r="E161" t="s">
        <v>95</v>
      </c>
      <c r="F161" t="s">
        <v>82</v>
      </c>
      <c r="H161" t="s">
        <v>85</v>
      </c>
      <c r="I161" s="49" t="s">
        <v>112</v>
      </c>
      <c r="J161">
        <f t="shared" si="4"/>
        <v>6</v>
      </c>
      <c r="K161" t="str">
        <f>_xlfn.XLOOKUP($B161,Num_Projet,Projets!B:B,"Inexistant",0)</f>
        <v>Infra2</v>
      </c>
      <c r="L161" t="str">
        <f>_xlfn.XLOOKUP($B161,Num_Projet,Projets!C:C,"Inexistant",0)</f>
        <v>cybersécurité</v>
      </c>
      <c r="M161" t="str">
        <f>_xlfn.XLOOKUP($B161,Num_Projet,Projets!D:D,"Inexistant",0)</f>
        <v>Société AHT</v>
      </c>
      <c r="N161" s="6">
        <f>_xlfn.XLOOKUP(E161,nom_commune,villes_clients!E:E)*2</f>
        <v>406.67072652136744</v>
      </c>
      <c r="O161" s="5">
        <f>IF(F161="train",G161,_xlfn.XLOOKUP(B161,Num_Projet,Projets!G:G,0,0)*N161)</f>
        <v>3664.1032459575204</v>
      </c>
      <c r="P161" s="5">
        <f>_xlfn.XLOOKUP(_xlfn.XLOOKUP(E161,nom_commune,villes_clients!D:D,0,0),Seuil_population,Nuitée,0,1) * J161</f>
        <v>600</v>
      </c>
      <c r="Q161" s="5">
        <f>_xlfn.XLOOKUP( _xlfn.CONCAT(A161,"-",_xlfn.XLOOKUP(A161,Matr,Consultants!E:E) ),Dernier_contrat,Contrats!D:D,0,0) * IF(J161&gt;0,J161,1)</f>
        <v>1230</v>
      </c>
      <c r="R161" s="44">
        <f t="shared" si="5"/>
        <v>4428.0774344681395</v>
      </c>
      <c r="S161" s="6">
        <f>( IF(F161="train", CO2_Train, _xlfn.XLOOKUP(I161,Immat_voitures,voitures_declarees!L:L,0,0)) * N161 ) / 1000</f>
        <v>41.887084831700847</v>
      </c>
    </row>
    <row r="162" spans="1:19" x14ac:dyDescent="0.2">
      <c r="A162">
        <v>8810</v>
      </c>
      <c r="B162">
        <v>4687</v>
      </c>
      <c r="C162" s="3">
        <v>46406</v>
      </c>
      <c r="D162" s="3">
        <v>46406</v>
      </c>
      <c r="E162" t="s">
        <v>120</v>
      </c>
      <c r="F162" t="s">
        <v>82</v>
      </c>
      <c r="H162" t="s">
        <v>79</v>
      </c>
      <c r="I162" s="49" t="s">
        <v>92</v>
      </c>
      <c r="J162">
        <f t="shared" si="4"/>
        <v>1</v>
      </c>
      <c r="K162" t="str">
        <f>_xlfn.XLOOKUP($B162,Num_Projet,Projets!B:B,"Inexistant",0)</f>
        <v>Mirage</v>
      </c>
      <c r="L162" t="str">
        <f>_xlfn.XLOOKUP($B162,Num_Projet,Projets!C:C,"Inexistant",0)</f>
        <v>cybersécurité</v>
      </c>
      <c r="M162" t="str">
        <f>_xlfn.XLOOKUP($B162,Num_Projet,Projets!D:D,"Inexistant",0)</f>
        <v>Banque Invest</v>
      </c>
      <c r="N162" s="6">
        <f>_xlfn.XLOOKUP(E162,nom_commune,villes_clients!E:E)*2</f>
        <v>132.76893959226709</v>
      </c>
      <c r="O162" s="5">
        <f>IF(F162="train",G162,_xlfn.XLOOKUP(B162,Num_Projet,Projets!G:G,0,0)*N162)</f>
        <v>1125.8806077424249</v>
      </c>
      <c r="P162" s="5">
        <f>_xlfn.XLOOKUP(_xlfn.XLOOKUP(E162,nom_commune,villes_clients!D:D,0,0),Seuil_population,Nuitée,0,1) * J162</f>
        <v>50</v>
      </c>
      <c r="Q162" s="5">
        <f>_xlfn.XLOOKUP( _xlfn.CONCAT(A162,"-",_xlfn.XLOOKUP(A162,Matr,Consultants!E:E) ),Dernier_contrat,Contrats!D:D,0,0) * IF(J162&gt;0,J162,1)</f>
        <v>187</v>
      </c>
      <c r="R162" s="44">
        <f t="shared" si="5"/>
        <v>1362.8806077424249</v>
      </c>
      <c r="S162" s="6">
        <f>( IF(F162="train", CO2_Train, _xlfn.XLOOKUP(I162,Immat_voitures,voitures_declarees!L:L,0,0)) * N162 ) / 1000</f>
        <v>20.579185636801398</v>
      </c>
    </row>
    <row r="163" spans="1:19" x14ac:dyDescent="0.2">
      <c r="A163">
        <v>7954</v>
      </c>
      <c r="B163">
        <v>5674</v>
      </c>
      <c r="C163" s="3">
        <v>46411</v>
      </c>
      <c r="D163" s="3">
        <v>46411</v>
      </c>
      <c r="E163" t="s">
        <v>143</v>
      </c>
      <c r="F163" t="s">
        <v>78</v>
      </c>
      <c r="G163" s="5">
        <v>130.71</v>
      </c>
      <c r="H163" t="s">
        <v>85</v>
      </c>
      <c r="J163">
        <f t="shared" si="4"/>
        <v>0</v>
      </c>
      <c r="K163" t="str">
        <f>_xlfn.XLOOKUP($B163,Num_Projet,Projets!B:B,"Inexistant",0)</f>
        <v>SuiviConso</v>
      </c>
      <c r="L163" t="str">
        <f>_xlfn.XLOOKUP($B163,Num_Projet,Projets!C:C,"Inexistant",0)</f>
        <v>gouvernance</v>
      </c>
      <c r="M163" t="str">
        <f>_xlfn.XLOOKUP($B163,Num_Projet,Projets!D:D,"Inexistant",0)</f>
        <v>Banque Invest</v>
      </c>
      <c r="N163" s="6">
        <f>_xlfn.XLOOKUP(E163,nom_commune,villes_clients!E:E)*2</f>
        <v>907.84905035975316</v>
      </c>
      <c r="O163" s="5">
        <f>IF(F163="train",G163,_xlfn.XLOOKUP(B163,Num_Projet,Projets!G:G,0,0)*N163)</f>
        <v>130.71</v>
      </c>
      <c r="P163" s="5">
        <f>_xlfn.XLOOKUP(_xlfn.XLOOKUP(E163,nom_commune,villes_clients!D:D,0,0),Seuil_population,Nuitée,0,1) * J163</f>
        <v>0</v>
      </c>
      <c r="Q163" s="5">
        <f>_xlfn.XLOOKUP( _xlfn.CONCAT(A163,"-",_xlfn.XLOOKUP(A163,Matr,Consultants!E:E) ),Dernier_contrat,Contrats!D:D,0,0) * IF(J163&gt;0,J163,1)</f>
        <v>115</v>
      </c>
      <c r="R163" s="44">
        <f t="shared" si="5"/>
        <v>213.0325</v>
      </c>
      <c r="S163" s="6">
        <f>( IF(F163="train", CO2_Train, _xlfn.XLOOKUP(I163,Immat_voitures,voitures_declarees!L:L,0,0)) * N163 ) / 1000</f>
        <v>1.8156981007195063</v>
      </c>
    </row>
    <row r="164" spans="1:19" x14ac:dyDescent="0.2">
      <c r="A164">
        <v>4751</v>
      </c>
      <c r="B164">
        <v>3987</v>
      </c>
      <c r="C164" s="3">
        <v>46414</v>
      </c>
      <c r="D164" s="3">
        <v>46417</v>
      </c>
      <c r="E164" t="s">
        <v>96</v>
      </c>
      <c r="F164" t="s">
        <v>82</v>
      </c>
      <c r="H164" t="s">
        <v>85</v>
      </c>
      <c r="I164" s="49" t="s">
        <v>86</v>
      </c>
      <c r="J164">
        <f t="shared" si="4"/>
        <v>3</v>
      </c>
      <c r="K164" t="str">
        <f>_xlfn.XLOOKUP($B164,Num_Projet,Projets!B:B,"Inexistant",0)</f>
        <v>Gamma</v>
      </c>
      <c r="L164" t="str">
        <f>_xlfn.XLOOKUP($B164,Num_Projet,Projets!C:C,"Inexistant",0)</f>
        <v>gouvernance</v>
      </c>
      <c r="M164" t="str">
        <f>_xlfn.XLOOKUP($B164,Num_Projet,Projets!D:D,"Inexistant",0)</f>
        <v>Cooperative Muvuca</v>
      </c>
      <c r="N164" s="6">
        <f>_xlfn.XLOOKUP(E164,nom_commune,villes_clients!E:E)*2</f>
        <v>29.536377804270522</v>
      </c>
      <c r="O164" s="5">
        <f>IF(F164="train",G164,_xlfn.XLOOKUP(B164,Num_Projet,Projets!G:G,0,0)*N164)</f>
        <v>290.34259381597923</v>
      </c>
      <c r="P164" s="5">
        <f>_xlfn.XLOOKUP(_xlfn.XLOOKUP(E164,nom_commune,villes_clients!D:D,0,0),Seuil_population,Nuitée,0,1) * J164</f>
        <v>225</v>
      </c>
      <c r="Q164" s="5">
        <f>_xlfn.XLOOKUP( _xlfn.CONCAT(A164,"-",_xlfn.XLOOKUP(A164,Matr,Consultants!E:E) ),Dernier_contrat,Contrats!D:D,0,0) * IF(J164&gt;0,J164,1)</f>
        <v>438</v>
      </c>
      <c r="R164" s="44">
        <f t="shared" si="5"/>
        <v>824.50694536198444</v>
      </c>
      <c r="S164" s="6">
        <f>( IF(F164="train", CO2_Train, _xlfn.XLOOKUP(I164,Immat_voitures,voitures_declarees!L:L,0,0)) * N164 ) / 1000</f>
        <v>7.0001215396121133</v>
      </c>
    </row>
    <row r="165" spans="1:19" x14ac:dyDescent="0.2">
      <c r="A165">
        <v>5959</v>
      </c>
      <c r="B165">
        <v>5674</v>
      </c>
      <c r="C165" s="3">
        <v>46415</v>
      </c>
      <c r="D165" s="3">
        <v>46417</v>
      </c>
      <c r="E165" t="s">
        <v>132</v>
      </c>
      <c r="F165" t="s">
        <v>78</v>
      </c>
      <c r="G165" s="5">
        <v>274.13</v>
      </c>
      <c r="H165" t="s">
        <v>79</v>
      </c>
      <c r="J165">
        <f t="shared" si="4"/>
        <v>2</v>
      </c>
      <c r="K165" t="str">
        <f>_xlfn.XLOOKUP($B165,Num_Projet,Projets!B:B,"Inexistant",0)</f>
        <v>SuiviConso</v>
      </c>
      <c r="L165" t="str">
        <f>_xlfn.XLOOKUP($B165,Num_Projet,Projets!C:C,"Inexistant",0)</f>
        <v>gouvernance</v>
      </c>
      <c r="M165" t="str">
        <f>_xlfn.XLOOKUP($B165,Num_Projet,Projets!D:D,"Inexistant",0)</f>
        <v>Banque Invest</v>
      </c>
      <c r="N165" s="6">
        <f>_xlfn.XLOOKUP(E165,nom_commune,villes_clients!E:E)*2</f>
        <v>286.21533622591346</v>
      </c>
      <c r="O165" s="5">
        <f>IF(F165="train",G165,_xlfn.XLOOKUP(B165,Num_Projet,Projets!G:G,0,0)*N165)</f>
        <v>274.13</v>
      </c>
      <c r="P165" s="5">
        <f>_xlfn.XLOOKUP(_xlfn.XLOOKUP(E165,nom_commune,villes_clients!D:D,0,0),Seuil_population,Nuitée,0,1) * J165</f>
        <v>100</v>
      </c>
      <c r="Q165" s="5">
        <f>_xlfn.XLOOKUP( _xlfn.CONCAT(A165,"-",_xlfn.XLOOKUP(A165,Matr,Consultants!E:E) ),Dernier_contrat,Contrats!D:D,0,0) * IF(J165&gt;0,J165,1)</f>
        <v>396</v>
      </c>
      <c r="R165" s="44">
        <f t="shared" si="5"/>
        <v>770.13</v>
      </c>
      <c r="S165" s="6">
        <f>( IF(F165="train", CO2_Train, _xlfn.XLOOKUP(I165,Immat_voitures,voitures_declarees!L:L,0,0)) * N165 ) / 1000</f>
        <v>0.57243067245182688</v>
      </c>
    </row>
    <row r="166" spans="1:19" x14ac:dyDescent="0.2">
      <c r="A166">
        <v>5211</v>
      </c>
      <c r="B166">
        <v>3850</v>
      </c>
      <c r="C166" s="3">
        <v>46415</v>
      </c>
      <c r="D166" s="3">
        <v>46420</v>
      </c>
      <c r="E166" t="s">
        <v>134</v>
      </c>
      <c r="F166" t="s">
        <v>82</v>
      </c>
      <c r="H166" t="s">
        <v>85</v>
      </c>
      <c r="I166" s="49" t="s">
        <v>83</v>
      </c>
      <c r="J166">
        <f t="shared" si="4"/>
        <v>4</v>
      </c>
      <c r="K166" t="str">
        <f>_xlfn.XLOOKUP($B166,Num_Projet,Projets!B:B,"Inexistant",0)</f>
        <v>Hercules</v>
      </c>
      <c r="L166" t="str">
        <f>_xlfn.XLOOKUP($B166,Num_Projet,Projets!C:C,"Inexistant",0)</f>
        <v>cybersécurité</v>
      </c>
      <c r="M166" t="str">
        <f>_xlfn.XLOOKUP($B166,Num_Projet,Projets!D:D,"Inexistant",0)</f>
        <v>Société AHT</v>
      </c>
      <c r="N166" s="6">
        <f>_xlfn.XLOOKUP(E166,nom_commune,villes_clients!E:E)*2</f>
        <v>994.80960070076435</v>
      </c>
      <c r="O166" s="5">
        <f>IF(F166="train",G166,_xlfn.XLOOKUP(B166,Num_Projet,Projets!G:G,0,0)*N166)</f>
        <v>11758.649480283035</v>
      </c>
      <c r="P166" s="5">
        <f>_xlfn.XLOOKUP(_xlfn.XLOOKUP(E166,nom_commune,villes_clients!D:D,0,0),Seuil_population,Nuitée,0,1) * J166</f>
        <v>400</v>
      </c>
      <c r="Q166" s="5">
        <f>_xlfn.XLOOKUP( _xlfn.CONCAT(A166,"-",_xlfn.XLOOKUP(A166,Matr,Consultants!E:E) ),Dernier_contrat,Contrats!D:D,0,0) * IF(J166&gt;0,J166,1)</f>
        <v>708</v>
      </c>
      <c r="R166" s="44">
        <f t="shared" si="5"/>
        <v>9826.9871102122761</v>
      </c>
      <c r="S166" s="6">
        <f>( IF(F166="train", CO2_Train, _xlfn.XLOOKUP(I166,Immat_voitures,voitures_declarees!L:L,0,0)) * N166 ) / 1000</f>
        <v>178.07091852543681</v>
      </c>
    </row>
    <row r="167" spans="1:19" x14ac:dyDescent="0.2">
      <c r="A167">
        <v>8988</v>
      </c>
      <c r="B167">
        <v>2776</v>
      </c>
      <c r="C167" s="3">
        <v>46419</v>
      </c>
      <c r="D167" s="3">
        <v>46424</v>
      </c>
      <c r="E167" t="s">
        <v>160</v>
      </c>
      <c r="F167" t="s">
        <v>82</v>
      </c>
      <c r="H167" t="s">
        <v>79</v>
      </c>
      <c r="I167" s="49" t="s">
        <v>102</v>
      </c>
      <c r="J167">
        <f t="shared" si="4"/>
        <v>5</v>
      </c>
      <c r="K167" t="str">
        <f>_xlfn.XLOOKUP($B167,Num_Projet,Projets!B:B,"Inexistant",0)</f>
        <v>Destroyer</v>
      </c>
      <c r="L167" t="str">
        <f>_xlfn.XLOOKUP($B167,Num_Projet,Projets!C:C,"Inexistant",0)</f>
        <v>gouvernance</v>
      </c>
      <c r="M167" t="str">
        <f>_xlfn.XLOOKUP($B167,Num_Projet,Projets!D:D,"Inexistant",0)</f>
        <v>Groupe Oignon</v>
      </c>
      <c r="N167" s="6">
        <f>_xlfn.XLOOKUP(E167,nom_commune,villes_clients!E:E)*2</f>
        <v>13.672243297167526</v>
      </c>
      <c r="O167" s="5">
        <f>IF(F167="train",G167,_xlfn.XLOOKUP(B167,Num_Projet,Projets!G:G,0,0)*N167)</f>
        <v>140.55066109488217</v>
      </c>
      <c r="P167" s="5">
        <f>_xlfn.XLOOKUP(_xlfn.XLOOKUP(E167,nom_commune,villes_clients!D:D,0,0),Seuil_population,Nuitée,0,1) * J167</f>
        <v>250</v>
      </c>
      <c r="Q167" s="5">
        <f>_xlfn.XLOOKUP( _xlfn.CONCAT(A167,"-",_xlfn.XLOOKUP(A167,Matr,Consultants!E:E) ),Dernier_contrat,Contrats!D:D,0,0) * IF(J167&gt;0,J167,1)</f>
        <v>990</v>
      </c>
      <c r="R167" s="44">
        <f t="shared" si="5"/>
        <v>1380.5506610948821</v>
      </c>
      <c r="S167" s="6">
        <f>( IF(F167="train", CO2_Train, _xlfn.XLOOKUP(I167,Immat_voitures,voitures_declarees!L:L,0,0)) * N167 ) / 1000</f>
        <v>2.8028098759193427</v>
      </c>
    </row>
    <row r="168" spans="1:19" x14ac:dyDescent="0.2">
      <c r="A168">
        <v>4641</v>
      </c>
      <c r="B168">
        <v>4687</v>
      </c>
      <c r="C168" s="3">
        <v>46420</v>
      </c>
      <c r="D168" s="3">
        <v>46420</v>
      </c>
      <c r="E168" t="s">
        <v>119</v>
      </c>
      <c r="F168" t="s">
        <v>82</v>
      </c>
      <c r="H168" t="s">
        <v>85</v>
      </c>
      <c r="I168" s="49" t="s">
        <v>86</v>
      </c>
      <c r="J168">
        <f t="shared" si="4"/>
        <v>1</v>
      </c>
      <c r="K168" t="str">
        <f>_xlfn.XLOOKUP($B168,Num_Projet,Projets!B:B,"Inexistant",0)</f>
        <v>Mirage</v>
      </c>
      <c r="L168" t="str">
        <f>_xlfn.XLOOKUP($B168,Num_Projet,Projets!C:C,"Inexistant",0)</f>
        <v>cybersécurité</v>
      </c>
      <c r="M168" t="str">
        <f>_xlfn.XLOOKUP($B168,Num_Projet,Projets!D:D,"Inexistant",0)</f>
        <v>Banque Invest</v>
      </c>
      <c r="N168" s="6">
        <f>_xlfn.XLOOKUP(E168,nom_commune,villes_clients!E:E)*2</f>
        <v>11.430453806573089</v>
      </c>
      <c r="O168" s="5">
        <f>IF(F168="train",G168,_xlfn.XLOOKUP(B168,Num_Projet,Projets!G:G,0,0)*N168)</f>
        <v>96.9302482797398</v>
      </c>
      <c r="P168" s="5">
        <f>_xlfn.XLOOKUP(_xlfn.XLOOKUP(E168,nom_commune,villes_clients!D:D,0,0),Seuil_population,Nuitée,0,1) * J168</f>
        <v>50</v>
      </c>
      <c r="Q168" s="5">
        <f>_xlfn.XLOOKUP( _xlfn.CONCAT(A168,"-",_xlfn.XLOOKUP(A168,Matr,Consultants!E:E) ),Dernier_contrat,Contrats!D:D,0,0) * IF(J168&gt;0,J168,1)</f>
        <v>137</v>
      </c>
      <c r="R168" s="44">
        <f t="shared" si="5"/>
        <v>247.19768620980486</v>
      </c>
      <c r="S168" s="6">
        <f>( IF(F168="train", CO2_Train, _xlfn.XLOOKUP(I168,Immat_voitures,voitures_declarees!L:L,0,0)) * N168 ) / 1000</f>
        <v>2.7090175521578219</v>
      </c>
    </row>
    <row r="169" spans="1:19" x14ac:dyDescent="0.2">
      <c r="A169">
        <v>3137</v>
      </c>
      <c r="B169">
        <v>2764</v>
      </c>
      <c r="C169" s="3">
        <v>46421</v>
      </c>
      <c r="D169" s="3">
        <v>46425</v>
      </c>
      <c r="E169" t="s">
        <v>95</v>
      </c>
      <c r="F169" t="s">
        <v>78</v>
      </c>
      <c r="G169" s="5">
        <v>159.71</v>
      </c>
      <c r="H169" t="s">
        <v>85</v>
      </c>
      <c r="J169">
        <f t="shared" si="4"/>
        <v>3</v>
      </c>
      <c r="K169" t="str">
        <f>_xlfn.XLOOKUP($B169,Num_Projet,Projets!B:B,"Inexistant",0)</f>
        <v>MARCO</v>
      </c>
      <c r="L169" t="str">
        <f>_xlfn.XLOOKUP($B169,Num_Projet,Projets!C:C,"Inexistant",0)</f>
        <v>transformation digital</v>
      </c>
      <c r="M169" t="str">
        <f>_xlfn.XLOOKUP($B169,Num_Projet,Projets!D:D,"Inexistant",0)</f>
        <v>Banque Invest</v>
      </c>
      <c r="N169" s="6">
        <f>_xlfn.XLOOKUP(E169,nom_commune,villes_clients!E:E)*2</f>
        <v>406.67072652136744</v>
      </c>
      <c r="O169" s="5">
        <f>IF(F169="train",G169,_xlfn.XLOOKUP(B169,Num_Projet,Projets!G:G,0,0)*N169)</f>
        <v>159.71</v>
      </c>
      <c r="P169" s="5">
        <f>_xlfn.XLOOKUP(_xlfn.XLOOKUP(E169,nom_commune,villes_clients!D:D,0,0),Seuil_population,Nuitée,0,1) * J169</f>
        <v>300</v>
      </c>
      <c r="Q169" s="5">
        <f>_xlfn.XLOOKUP( _xlfn.CONCAT(A169,"-",_xlfn.XLOOKUP(A169,Matr,Consultants!E:E) ),Dernier_contrat,Contrats!D:D,0,0) * IF(J169&gt;0,J169,1)</f>
        <v>588</v>
      </c>
      <c r="R169" s="44">
        <f t="shared" si="5"/>
        <v>932.78250000000003</v>
      </c>
      <c r="S169" s="6">
        <f>( IF(F169="train", CO2_Train, _xlfn.XLOOKUP(I169,Immat_voitures,voitures_declarees!L:L,0,0)) * N169 ) / 1000</f>
        <v>0.81334145304273486</v>
      </c>
    </row>
    <row r="170" spans="1:19" x14ac:dyDescent="0.2">
      <c r="A170">
        <v>7954</v>
      </c>
      <c r="B170">
        <v>6665</v>
      </c>
      <c r="C170" s="3">
        <v>46422</v>
      </c>
      <c r="D170" s="3">
        <v>46435</v>
      </c>
      <c r="E170" t="s">
        <v>144</v>
      </c>
      <c r="F170" t="s">
        <v>78</v>
      </c>
      <c r="G170" s="5">
        <v>238.88</v>
      </c>
      <c r="H170" t="s">
        <v>79</v>
      </c>
      <c r="J170">
        <f t="shared" si="4"/>
        <v>10</v>
      </c>
      <c r="K170" t="str">
        <f>_xlfn.XLOOKUP($B170,Num_Projet,Projets!B:B,"Inexistant",0)</f>
        <v>Orion</v>
      </c>
      <c r="L170" t="str">
        <f>_xlfn.XLOOKUP($B170,Num_Projet,Projets!C:C,"Inexistant",0)</f>
        <v>gouvernance</v>
      </c>
      <c r="M170" t="str">
        <f>_xlfn.XLOOKUP($B170,Num_Projet,Projets!D:D,"Inexistant",0)</f>
        <v>Industries Nova Tech</v>
      </c>
      <c r="N170" s="6">
        <f>_xlfn.XLOOKUP(E170,nom_commune,villes_clients!E:E)*2</f>
        <v>655.05936385517475</v>
      </c>
      <c r="O170" s="5">
        <f>IF(F170="train",G170,_xlfn.XLOOKUP(B170,Num_Projet,Projets!G:G,0,0)*N170)</f>
        <v>238.88</v>
      </c>
      <c r="P170" s="5">
        <f>_xlfn.XLOOKUP(_xlfn.XLOOKUP(E170,nom_commune,villes_clients!D:D,0,0),Seuil_population,Nuitée,0,1) * J170</f>
        <v>750</v>
      </c>
      <c r="Q170" s="5">
        <f>_xlfn.XLOOKUP( _xlfn.CONCAT(A170,"-",_xlfn.XLOOKUP(A170,Matr,Consultants!E:E) ),Dernier_contrat,Contrats!D:D,0,0) * IF(J170&gt;0,J170,1)</f>
        <v>1150</v>
      </c>
      <c r="R170" s="44">
        <f t="shared" si="5"/>
        <v>2138.88</v>
      </c>
      <c r="S170" s="6">
        <f>( IF(F170="train", CO2_Train, _xlfn.XLOOKUP(I170,Immat_voitures,voitures_declarees!L:L,0,0)) * N170 ) / 1000</f>
        <v>1.3101187277103494</v>
      </c>
    </row>
    <row r="171" spans="1:19" x14ac:dyDescent="0.2">
      <c r="A171">
        <v>4751</v>
      </c>
      <c r="B171">
        <v>9256</v>
      </c>
      <c r="C171" s="3">
        <v>46424</v>
      </c>
      <c r="D171" s="3">
        <v>46438</v>
      </c>
      <c r="E171" t="s">
        <v>127</v>
      </c>
      <c r="F171" t="s">
        <v>82</v>
      </c>
      <c r="H171" t="s">
        <v>85</v>
      </c>
      <c r="I171" s="49" t="s">
        <v>88</v>
      </c>
      <c r="J171">
        <f t="shared" si="4"/>
        <v>10</v>
      </c>
      <c r="K171" t="str">
        <f>_xlfn.XLOOKUP($B171,Num_Projet,Projets!B:B,"Inexistant",0)</f>
        <v>Log2030</v>
      </c>
      <c r="L171" t="str">
        <f>_xlfn.XLOOKUP($B171,Num_Projet,Projets!C:C,"Inexistant",0)</f>
        <v>gouvernance</v>
      </c>
      <c r="M171" t="str">
        <f>_xlfn.XLOOKUP($B171,Num_Projet,Projets!D:D,"Inexistant",0)</f>
        <v>Banque Invest</v>
      </c>
      <c r="N171" s="6">
        <f>_xlfn.XLOOKUP(E171,nom_commune,villes_clients!E:E)*2</f>
        <v>28.398104953178237</v>
      </c>
      <c r="O171" s="5">
        <f>IF(F171="train",G171,_xlfn.XLOOKUP(B171,Num_Projet,Projets!G:G,0,0)*N171)</f>
        <v>187.42749269097635</v>
      </c>
      <c r="P171" s="5">
        <f>_xlfn.XLOOKUP(_xlfn.XLOOKUP(E171,nom_commune,villes_clients!D:D,0,0),Seuil_population,Nuitée,0,1) * J171</f>
        <v>500</v>
      </c>
      <c r="Q171" s="5">
        <f>_xlfn.XLOOKUP( _xlfn.CONCAT(A171,"-",_xlfn.XLOOKUP(A171,Matr,Consultants!E:E) ),Dernier_contrat,Contrats!D:D,0,0) * IF(J171&gt;0,J171,1)</f>
        <v>1460</v>
      </c>
      <c r="R171" s="44">
        <f t="shared" si="5"/>
        <v>1975.5706195182322</v>
      </c>
      <c r="S171" s="6">
        <f>( IF(F171="train", CO2_Train, _xlfn.XLOOKUP(I171,Immat_voitures,voitures_declarees!L:L,0,0)) * N171 ) / 1000</f>
        <v>3.1237915448496061</v>
      </c>
    </row>
    <row r="172" spans="1:19" x14ac:dyDescent="0.2">
      <c r="A172">
        <v>4744</v>
      </c>
      <c r="B172">
        <v>6665</v>
      </c>
      <c r="C172" s="3">
        <v>46424</v>
      </c>
      <c r="D172" s="3">
        <v>46434</v>
      </c>
      <c r="E172" t="s">
        <v>122</v>
      </c>
      <c r="F172" t="s">
        <v>82</v>
      </c>
      <c r="H172" t="s">
        <v>79</v>
      </c>
      <c r="I172" s="49" t="s">
        <v>88</v>
      </c>
      <c r="J172">
        <f t="shared" si="4"/>
        <v>7</v>
      </c>
      <c r="K172" t="str">
        <f>_xlfn.XLOOKUP($B172,Num_Projet,Projets!B:B,"Inexistant",0)</f>
        <v>Orion</v>
      </c>
      <c r="L172" t="str">
        <f>_xlfn.XLOOKUP($B172,Num_Projet,Projets!C:C,"Inexistant",0)</f>
        <v>gouvernance</v>
      </c>
      <c r="M172" t="str">
        <f>_xlfn.XLOOKUP($B172,Num_Projet,Projets!D:D,"Inexistant",0)</f>
        <v>Industries Nova Tech</v>
      </c>
      <c r="N172" s="6">
        <f>_xlfn.XLOOKUP(E172,nom_commune,villes_clients!E:E)*2</f>
        <v>423.94716370353035</v>
      </c>
      <c r="O172" s="5">
        <f>IF(F172="train",G172,_xlfn.XLOOKUP(B172,Num_Projet,Projets!G:G,0,0)*N172)</f>
        <v>5040.7317764349764</v>
      </c>
      <c r="P172" s="5">
        <f>_xlfn.XLOOKUP(_xlfn.XLOOKUP(E172,nom_commune,villes_clients!D:D,0,0),Seuil_population,Nuitée,0,1) * J172</f>
        <v>525</v>
      </c>
      <c r="Q172" s="5">
        <f>_xlfn.XLOOKUP( _xlfn.CONCAT(A172,"-",_xlfn.XLOOKUP(A172,Matr,Consultants!E:E) ),Dernier_contrat,Contrats!D:D,0,0) * IF(J172&gt;0,J172,1)</f>
        <v>889</v>
      </c>
      <c r="R172" s="44">
        <f t="shared" si="5"/>
        <v>6454.7317764349764</v>
      </c>
      <c r="S172" s="6">
        <f>( IF(F172="train", CO2_Train, _xlfn.XLOOKUP(I172,Immat_voitures,voitures_declarees!L:L,0,0)) * N172 ) / 1000</f>
        <v>46.634188007388339</v>
      </c>
    </row>
    <row r="173" spans="1:19" x14ac:dyDescent="0.2">
      <c r="A173">
        <v>8810</v>
      </c>
      <c r="B173">
        <v>7371</v>
      </c>
      <c r="C173" s="3">
        <v>46425</v>
      </c>
      <c r="D173" s="3">
        <v>46434</v>
      </c>
      <c r="E173" t="s">
        <v>149</v>
      </c>
      <c r="F173" t="s">
        <v>82</v>
      </c>
      <c r="H173" t="s">
        <v>79</v>
      </c>
      <c r="I173" s="49" t="s">
        <v>107</v>
      </c>
      <c r="J173">
        <f t="shared" si="4"/>
        <v>7</v>
      </c>
      <c r="K173" t="str">
        <f>_xlfn.XLOOKUP($B173,Num_Projet,Projets!B:B,"Inexistant",0)</f>
        <v>Infra2</v>
      </c>
      <c r="L173" t="str">
        <f>_xlfn.XLOOKUP($B173,Num_Projet,Projets!C:C,"Inexistant",0)</f>
        <v>cybersécurité</v>
      </c>
      <c r="M173" t="str">
        <f>_xlfn.XLOOKUP($B173,Num_Projet,Projets!D:D,"Inexistant",0)</f>
        <v>Société AHT</v>
      </c>
      <c r="N173" s="6">
        <f>_xlfn.XLOOKUP(E173,nom_commune,villes_clients!E:E)*2</f>
        <v>482.30526134116178</v>
      </c>
      <c r="O173" s="5">
        <f>IF(F173="train",G173,_xlfn.XLOOKUP(B173,Num_Projet,Projets!G:G,0,0)*N173)</f>
        <v>4345.5704046838673</v>
      </c>
      <c r="P173" s="5">
        <f>_xlfn.XLOOKUP(_xlfn.XLOOKUP(E173,nom_commune,villes_clients!D:D,0,0),Seuil_population,Nuitée,0,1) * J173</f>
        <v>350</v>
      </c>
      <c r="Q173" s="5">
        <f>_xlfn.XLOOKUP( _xlfn.CONCAT(A173,"-",_xlfn.XLOOKUP(A173,Matr,Consultants!E:E) ),Dernier_contrat,Contrats!D:D,0,0) * IF(J173&gt;0,J173,1)</f>
        <v>1309</v>
      </c>
      <c r="R173" s="44">
        <f t="shared" si="5"/>
        <v>6004.5704046838673</v>
      </c>
      <c r="S173" s="6">
        <f>( IF(F173="train", CO2_Train, _xlfn.XLOOKUP(I173,Immat_voitures,voitures_declarees!L:L,0,0)) * N173 ) / 1000</f>
        <v>103.21332592700863</v>
      </c>
    </row>
    <row r="174" spans="1:19" x14ac:dyDescent="0.2">
      <c r="A174">
        <v>3137</v>
      </c>
      <c r="B174">
        <v>4125</v>
      </c>
      <c r="C174" s="3">
        <v>46426</v>
      </c>
      <c r="D174" s="3">
        <v>46432</v>
      </c>
      <c r="E174" t="s">
        <v>96</v>
      </c>
      <c r="F174" t="s">
        <v>82</v>
      </c>
      <c r="H174" t="s">
        <v>79</v>
      </c>
      <c r="I174" s="49" t="s">
        <v>83</v>
      </c>
      <c r="J174">
        <f t="shared" si="4"/>
        <v>5</v>
      </c>
      <c r="K174" t="str">
        <f>_xlfn.XLOOKUP($B174,Num_Projet,Projets!B:B,"Inexistant",0)</f>
        <v>ADV</v>
      </c>
      <c r="L174" t="str">
        <f>_xlfn.XLOOKUP($B174,Num_Projet,Projets!C:C,"Inexistant",0)</f>
        <v>gouvernance</v>
      </c>
      <c r="M174" t="str">
        <f>_xlfn.XLOOKUP($B174,Num_Projet,Projets!D:D,"Inexistant",0)</f>
        <v>Industries Nova Tech</v>
      </c>
      <c r="N174" s="6">
        <f>_xlfn.XLOOKUP(E174,nom_commune,villes_clients!E:E)*2</f>
        <v>29.536377804270522</v>
      </c>
      <c r="O174" s="5">
        <f>IF(F174="train",G174,_xlfn.XLOOKUP(B174,Num_Projet,Projets!G:G,0,0)*N174)</f>
        <v>238.35856888046311</v>
      </c>
      <c r="P174" s="5">
        <f>_xlfn.XLOOKUP(_xlfn.XLOOKUP(E174,nom_commune,villes_clients!D:D,0,0),Seuil_population,Nuitée,0,1) * J174</f>
        <v>375</v>
      </c>
      <c r="Q174" s="5">
        <f>_xlfn.XLOOKUP( _xlfn.CONCAT(A174,"-",_xlfn.XLOOKUP(A174,Matr,Consultants!E:E) ),Dernier_contrat,Contrats!D:D,0,0) * IF(J174&gt;0,J174,1)</f>
        <v>980</v>
      </c>
      <c r="R174" s="44">
        <f t="shared" si="5"/>
        <v>1593.3585688804631</v>
      </c>
      <c r="S174" s="6">
        <f>( IF(F174="train", CO2_Train, _xlfn.XLOOKUP(I174,Immat_voitures,voitures_declarees!L:L,0,0)) * N174 ) / 1000</f>
        <v>5.2870116269644232</v>
      </c>
    </row>
    <row r="175" spans="1:19" x14ac:dyDescent="0.2">
      <c r="A175">
        <v>6423</v>
      </c>
      <c r="B175">
        <v>9018</v>
      </c>
      <c r="C175" s="3">
        <v>46426</v>
      </c>
      <c r="D175" s="3">
        <v>46432</v>
      </c>
      <c r="E175" t="s">
        <v>117</v>
      </c>
      <c r="F175" t="s">
        <v>82</v>
      </c>
      <c r="H175" t="s">
        <v>79</v>
      </c>
      <c r="I175" s="49" t="s">
        <v>92</v>
      </c>
      <c r="J175">
        <f t="shared" si="4"/>
        <v>5</v>
      </c>
      <c r="K175" t="str">
        <f>_xlfn.XLOOKUP($B175,Num_Projet,Projets!B:B,"Inexistant",0)</f>
        <v>Onix</v>
      </c>
      <c r="L175" t="str">
        <f>_xlfn.XLOOKUP($B175,Num_Projet,Projets!C:C,"Inexistant",0)</f>
        <v>systèmes d'information</v>
      </c>
      <c r="M175" t="str">
        <f>_xlfn.XLOOKUP($B175,Num_Projet,Projets!D:D,"Inexistant",0)</f>
        <v>Société AHT</v>
      </c>
      <c r="N175" s="6">
        <f>_xlfn.XLOOKUP(E175,nom_commune,villes_clients!E:E)*2</f>
        <v>23.369681001270123</v>
      </c>
      <c r="O175" s="5">
        <f>IF(F175="train",G175,_xlfn.XLOOKUP(B175,Num_Projet,Projets!G:G,0,0)*N175)</f>
        <v>148.16377754805259</v>
      </c>
      <c r="P175" s="5">
        <f>_xlfn.XLOOKUP(_xlfn.XLOOKUP(E175,nom_commune,villes_clients!D:D,0,0),Seuil_population,Nuitée,0,1) * J175</f>
        <v>250</v>
      </c>
      <c r="Q175" s="5">
        <f>_xlfn.XLOOKUP( _xlfn.CONCAT(A175,"-",_xlfn.XLOOKUP(A175,Matr,Consultants!E:E) ),Dernier_contrat,Contrats!D:D,0,0) * IF(J175&gt;0,J175,1)</f>
        <v>1045</v>
      </c>
      <c r="R175" s="44">
        <f t="shared" si="5"/>
        <v>1443.1637775480526</v>
      </c>
      <c r="S175" s="6">
        <f>( IF(F175="train", CO2_Train, _xlfn.XLOOKUP(I175,Immat_voitures,voitures_declarees!L:L,0,0)) * N175 ) / 1000</f>
        <v>3.622300555196869</v>
      </c>
    </row>
    <row r="176" spans="1:19" x14ac:dyDescent="0.2">
      <c r="A176">
        <v>5607</v>
      </c>
      <c r="B176">
        <v>9018</v>
      </c>
      <c r="C176" s="3">
        <v>46430</v>
      </c>
      <c r="D176" s="3">
        <v>46443</v>
      </c>
      <c r="E176" t="s">
        <v>110</v>
      </c>
      <c r="F176" t="s">
        <v>82</v>
      </c>
      <c r="H176" t="s">
        <v>85</v>
      </c>
      <c r="I176" s="49" t="s">
        <v>92</v>
      </c>
      <c r="J176">
        <f t="shared" si="4"/>
        <v>10</v>
      </c>
      <c r="K176" t="str">
        <f>_xlfn.XLOOKUP($B176,Num_Projet,Projets!B:B,"Inexistant",0)</f>
        <v>Onix</v>
      </c>
      <c r="L176" t="str">
        <f>_xlfn.XLOOKUP($B176,Num_Projet,Projets!C:C,"Inexistant",0)</f>
        <v>systèmes d'information</v>
      </c>
      <c r="M176" t="str">
        <f>_xlfn.XLOOKUP($B176,Num_Projet,Projets!D:D,"Inexistant",0)</f>
        <v>Société AHT</v>
      </c>
      <c r="N176" s="6">
        <f>_xlfn.XLOOKUP(E176,nom_commune,villes_clients!E:E)*2</f>
        <v>410.92880972718422</v>
      </c>
      <c r="O176" s="5">
        <f>IF(F176="train",G176,_xlfn.XLOOKUP(B176,Num_Projet,Projets!G:G,0,0)*N176)</f>
        <v>2605.2886536703477</v>
      </c>
      <c r="P176" s="5">
        <f>_xlfn.XLOOKUP(_xlfn.XLOOKUP(E176,nom_commune,villes_clients!D:D,0,0),Seuil_population,Nuitée,0,1) * J176</f>
        <v>500</v>
      </c>
      <c r="Q176" s="5">
        <f>_xlfn.XLOOKUP( _xlfn.CONCAT(A176,"-",_xlfn.XLOOKUP(A176,Matr,Consultants!E:E) ),Dernier_contrat,Contrats!D:D,0,0) * IF(J176&gt;0,J176,1)</f>
        <v>1040</v>
      </c>
      <c r="R176" s="44">
        <f t="shared" si="5"/>
        <v>3368.9664902527607</v>
      </c>
      <c r="S176" s="6">
        <f>( IF(F176="train", CO2_Train, _xlfn.XLOOKUP(I176,Immat_voitures,voitures_declarees!L:L,0,0)) * N176 ) / 1000</f>
        <v>63.693965507713557</v>
      </c>
    </row>
    <row r="177" spans="1:19" x14ac:dyDescent="0.2">
      <c r="A177">
        <v>4359</v>
      </c>
      <c r="B177">
        <v>9256</v>
      </c>
      <c r="C177" s="3">
        <v>46431</v>
      </c>
      <c r="D177" s="3">
        <v>46439</v>
      </c>
      <c r="E177" t="s">
        <v>95</v>
      </c>
      <c r="F177" t="s">
        <v>78</v>
      </c>
      <c r="G177" s="5">
        <v>235.17</v>
      </c>
      <c r="H177" t="s">
        <v>79</v>
      </c>
      <c r="J177">
        <f t="shared" si="4"/>
        <v>5</v>
      </c>
      <c r="K177" t="str">
        <f>_xlfn.XLOOKUP($B177,Num_Projet,Projets!B:B,"Inexistant",0)</f>
        <v>Log2030</v>
      </c>
      <c r="L177" t="str">
        <f>_xlfn.XLOOKUP($B177,Num_Projet,Projets!C:C,"Inexistant",0)</f>
        <v>gouvernance</v>
      </c>
      <c r="M177" t="str">
        <f>_xlfn.XLOOKUP($B177,Num_Projet,Projets!D:D,"Inexistant",0)</f>
        <v>Banque Invest</v>
      </c>
      <c r="N177" s="6">
        <f>_xlfn.XLOOKUP(E177,nom_commune,villes_clients!E:E)*2</f>
        <v>406.67072652136744</v>
      </c>
      <c r="O177" s="5">
        <f>IF(F177="train",G177,_xlfn.XLOOKUP(B177,Num_Projet,Projets!G:G,0,0)*N177)</f>
        <v>235.17</v>
      </c>
      <c r="P177" s="5">
        <f>_xlfn.XLOOKUP(_xlfn.XLOOKUP(E177,nom_commune,villes_clients!D:D,0,0),Seuil_population,Nuitée,0,1) * J177</f>
        <v>500</v>
      </c>
      <c r="Q177" s="5">
        <f>_xlfn.XLOOKUP( _xlfn.CONCAT(A177,"-",_xlfn.XLOOKUP(A177,Matr,Consultants!E:E) ),Dernier_contrat,Contrats!D:D,0,0) * IF(J177&gt;0,J177,1)</f>
        <v>510</v>
      </c>
      <c r="R177" s="44">
        <f t="shared" si="5"/>
        <v>1245.17</v>
      </c>
      <c r="S177" s="6">
        <f>( IF(F177="train", CO2_Train, _xlfn.XLOOKUP(I177,Immat_voitures,voitures_declarees!L:L,0,0)) * N177 ) / 1000</f>
        <v>0.81334145304273486</v>
      </c>
    </row>
    <row r="178" spans="1:19" x14ac:dyDescent="0.2">
      <c r="A178">
        <v>3582</v>
      </c>
      <c r="B178">
        <v>9018</v>
      </c>
      <c r="C178" s="3">
        <v>46433</v>
      </c>
      <c r="D178" s="3">
        <v>46447</v>
      </c>
      <c r="E178" t="s">
        <v>116</v>
      </c>
      <c r="F178" t="s">
        <v>78</v>
      </c>
      <c r="G178" s="5">
        <v>142.53</v>
      </c>
      <c r="H178" t="s">
        <v>85</v>
      </c>
      <c r="J178">
        <f t="shared" si="4"/>
        <v>11</v>
      </c>
      <c r="K178" t="str">
        <f>_xlfn.XLOOKUP($B178,Num_Projet,Projets!B:B,"Inexistant",0)</f>
        <v>Onix</v>
      </c>
      <c r="L178" t="str">
        <f>_xlfn.XLOOKUP($B178,Num_Projet,Projets!C:C,"Inexistant",0)</f>
        <v>systèmes d'information</v>
      </c>
      <c r="M178" t="str">
        <f>_xlfn.XLOOKUP($B178,Num_Projet,Projets!D:D,"Inexistant",0)</f>
        <v>Société AHT</v>
      </c>
      <c r="N178" s="6">
        <f>_xlfn.XLOOKUP(E178,nom_commune,villes_clients!E:E)*2</f>
        <v>430.97127785734853</v>
      </c>
      <c r="O178" s="5">
        <f>IF(F178="train",G178,_xlfn.XLOOKUP(B178,Num_Projet,Projets!G:G,0,0)*N178)</f>
        <v>142.53</v>
      </c>
      <c r="P178" s="5">
        <f>_xlfn.XLOOKUP(_xlfn.XLOOKUP(E178,nom_commune,villes_clients!D:D,0,0),Seuil_population,Nuitée,0,1) * J178</f>
        <v>825</v>
      </c>
      <c r="Q178" s="5">
        <f>_xlfn.XLOOKUP( _xlfn.CONCAT(A178,"-",_xlfn.XLOOKUP(A178,Matr,Consultants!E:E) ),Dernier_contrat,Contrats!D:D,0,0) * IF(J178&gt;0,J178,1)</f>
        <v>924</v>
      </c>
      <c r="R178" s="44">
        <f t="shared" si="5"/>
        <v>1649.6475</v>
      </c>
      <c r="S178" s="6">
        <f>( IF(F178="train", CO2_Train, _xlfn.XLOOKUP(I178,Immat_voitures,voitures_declarees!L:L,0,0)) * N178 ) / 1000</f>
        <v>0.86194255571469702</v>
      </c>
    </row>
    <row r="179" spans="1:19" x14ac:dyDescent="0.2">
      <c r="A179">
        <v>4641</v>
      </c>
      <c r="B179">
        <v>4641</v>
      </c>
      <c r="C179" s="3">
        <v>46434</v>
      </c>
      <c r="D179" s="3">
        <v>46442</v>
      </c>
      <c r="E179" t="s">
        <v>152</v>
      </c>
      <c r="F179" t="s">
        <v>78</v>
      </c>
      <c r="G179" s="5">
        <v>136.96</v>
      </c>
      <c r="H179" t="s">
        <v>79</v>
      </c>
      <c r="J179">
        <f t="shared" si="4"/>
        <v>7</v>
      </c>
      <c r="K179" t="str">
        <f>_xlfn.XLOOKUP($B179,Num_Projet,Projets!B:B,"Inexistant",0)</f>
        <v>Arche</v>
      </c>
      <c r="L179" t="str">
        <f>_xlfn.XLOOKUP($B179,Num_Projet,Projets!C:C,"Inexistant",0)</f>
        <v>systèmes d'information</v>
      </c>
      <c r="M179" t="str">
        <f>_xlfn.XLOOKUP($B179,Num_Projet,Projets!D:D,"Inexistant",0)</f>
        <v>Banque Invest</v>
      </c>
      <c r="N179" s="6">
        <f>_xlfn.XLOOKUP(E179,nom_commune,villes_clients!E:E)*2</f>
        <v>780.40222970796981</v>
      </c>
      <c r="O179" s="5">
        <f>IF(F179="train",G179,_xlfn.XLOOKUP(B179,Num_Projet,Projets!G:G,0,0)*N179)</f>
        <v>136.96</v>
      </c>
      <c r="P179" s="5">
        <f>_xlfn.XLOOKUP(_xlfn.XLOOKUP(E179,nom_commune,villes_clients!D:D,0,0),Seuil_population,Nuitée,0,1) * J179</f>
        <v>525</v>
      </c>
      <c r="Q179" s="5">
        <f>_xlfn.XLOOKUP( _xlfn.CONCAT(A179,"-",_xlfn.XLOOKUP(A179,Matr,Consultants!E:E) ),Dernier_contrat,Contrats!D:D,0,0) * IF(J179&gt;0,J179,1)</f>
        <v>959</v>
      </c>
      <c r="R179" s="44">
        <f t="shared" si="5"/>
        <v>1620.96</v>
      </c>
      <c r="S179" s="6">
        <f>( IF(F179="train", CO2_Train, _xlfn.XLOOKUP(I179,Immat_voitures,voitures_declarees!L:L,0,0)) * N179 ) / 1000</f>
        <v>1.5608044594159396</v>
      </c>
    </row>
    <row r="180" spans="1:19" x14ac:dyDescent="0.2">
      <c r="A180">
        <v>3772</v>
      </c>
      <c r="B180">
        <v>7717</v>
      </c>
      <c r="C180" s="3">
        <v>46436</v>
      </c>
      <c r="D180" s="3">
        <v>46444</v>
      </c>
      <c r="E180" t="s">
        <v>162</v>
      </c>
      <c r="F180" t="s">
        <v>82</v>
      </c>
      <c r="H180" t="s">
        <v>85</v>
      </c>
      <c r="I180" s="49" t="s">
        <v>83</v>
      </c>
      <c r="J180">
        <f t="shared" si="4"/>
        <v>7</v>
      </c>
      <c r="K180" t="str">
        <f>_xlfn.XLOOKUP($B180,Num_Projet,Projets!B:B,"Inexistant",0)</f>
        <v>Alpha</v>
      </c>
      <c r="L180" t="str">
        <f>_xlfn.XLOOKUP($B180,Num_Projet,Projets!C:C,"Inexistant",0)</f>
        <v>gouvernance</v>
      </c>
      <c r="M180" t="str">
        <f>_xlfn.XLOOKUP($B180,Num_Projet,Projets!D:D,"Inexistant",0)</f>
        <v>Industries Nova Tech</v>
      </c>
      <c r="N180" s="6">
        <f>_xlfn.XLOOKUP(E180,nom_commune,villes_clients!E:E)*2</f>
        <v>882.95296153169909</v>
      </c>
      <c r="O180" s="5">
        <f>IF(F180="train",G180,_xlfn.XLOOKUP(B180,Num_Projet,Projets!G:G,0,0)*N180)</f>
        <v>7434.4639360969059</v>
      </c>
      <c r="P180" s="5">
        <f>_xlfn.XLOOKUP(_xlfn.XLOOKUP(E180,nom_commune,villes_clients!D:D,0,0),Seuil_population,Nuitée,0,1) * J180</f>
        <v>350</v>
      </c>
      <c r="Q180" s="5">
        <f>_xlfn.XLOOKUP( _xlfn.CONCAT(A180,"-",_xlfn.XLOOKUP(A180,Matr,Consultants!E:E) ),Dernier_contrat,Contrats!D:D,0,0) * IF(J180&gt;0,J180,1)</f>
        <v>1435</v>
      </c>
      <c r="R180" s="44">
        <f t="shared" si="5"/>
        <v>7273.3479520726796</v>
      </c>
      <c r="S180" s="6">
        <f>( IF(F180="train", CO2_Train, _xlfn.XLOOKUP(I180,Immat_voitures,voitures_declarees!L:L,0,0)) * N180 ) / 1000</f>
        <v>158.04858011417414</v>
      </c>
    </row>
    <row r="181" spans="1:19" x14ac:dyDescent="0.2">
      <c r="A181">
        <v>6423</v>
      </c>
      <c r="B181">
        <v>8140</v>
      </c>
      <c r="C181" s="3">
        <v>46437</v>
      </c>
      <c r="D181" s="3">
        <v>46446</v>
      </c>
      <c r="E181" t="s">
        <v>118</v>
      </c>
      <c r="F181" t="s">
        <v>82</v>
      </c>
      <c r="H181" t="s">
        <v>85</v>
      </c>
      <c r="I181" s="49" t="s">
        <v>90</v>
      </c>
      <c r="J181">
        <f t="shared" si="4"/>
        <v>6</v>
      </c>
      <c r="K181" t="str">
        <f>_xlfn.XLOOKUP($B181,Num_Projet,Projets!B:B,"Inexistant",0)</f>
        <v>Beta</v>
      </c>
      <c r="L181" t="str">
        <f>_xlfn.XLOOKUP($B181,Num_Projet,Projets!C:C,"Inexistant",0)</f>
        <v>systèmes d'information</v>
      </c>
      <c r="M181" t="str">
        <f>_xlfn.XLOOKUP($B181,Num_Projet,Projets!D:D,"Inexistant",0)</f>
        <v>Société AHT</v>
      </c>
      <c r="N181" s="6">
        <f>_xlfn.XLOOKUP(E181,nom_commune,villes_clients!E:E)*2</f>
        <v>636.73007282548701</v>
      </c>
      <c r="O181" s="5">
        <f>IF(F181="train",G181,_xlfn.XLOOKUP(B181,Num_Projet,Projets!G:G,0,0)*N181)</f>
        <v>5004.6983724083284</v>
      </c>
      <c r="P181" s="5">
        <f>_xlfn.XLOOKUP(_xlfn.XLOOKUP(E181,nom_commune,villes_clients!D:D,0,0),Seuil_population,Nuitée,0,1) * J181</f>
        <v>300</v>
      </c>
      <c r="Q181" s="5">
        <f>_xlfn.XLOOKUP( _xlfn.CONCAT(A181,"-",_xlfn.XLOOKUP(A181,Matr,Consultants!E:E) ),Dernier_contrat,Contrats!D:D,0,0) * IF(J181&gt;0,J181,1)</f>
        <v>1254</v>
      </c>
      <c r="R181" s="44">
        <f t="shared" si="5"/>
        <v>5232.5237793062461</v>
      </c>
      <c r="S181" s="6">
        <f>( IF(F181="train", CO2_Train, _xlfn.XLOOKUP(I181,Immat_voitures,voitures_declarees!L:L,0,0)) * N181 ) / 1000</f>
        <v>188.47210155634417</v>
      </c>
    </row>
    <row r="182" spans="1:19" x14ac:dyDescent="0.2">
      <c r="A182">
        <v>5959</v>
      </c>
      <c r="B182">
        <v>2776</v>
      </c>
      <c r="C182" s="3">
        <v>46438</v>
      </c>
      <c r="D182" s="3">
        <v>46440</v>
      </c>
      <c r="E182" t="s">
        <v>133</v>
      </c>
      <c r="F182" t="s">
        <v>82</v>
      </c>
      <c r="H182" t="s">
        <v>79</v>
      </c>
      <c r="I182" s="49" t="s">
        <v>88</v>
      </c>
      <c r="J182">
        <f t="shared" si="4"/>
        <v>1</v>
      </c>
      <c r="K182" t="str">
        <f>_xlfn.XLOOKUP($B182,Num_Projet,Projets!B:B,"Inexistant",0)</f>
        <v>Destroyer</v>
      </c>
      <c r="L182" t="str">
        <f>_xlfn.XLOOKUP($B182,Num_Projet,Projets!C:C,"Inexistant",0)</f>
        <v>gouvernance</v>
      </c>
      <c r="M182" t="str">
        <f>_xlfn.XLOOKUP($B182,Num_Projet,Projets!D:D,"Inexistant",0)</f>
        <v>Groupe Oignon</v>
      </c>
      <c r="N182" s="6">
        <f>_xlfn.XLOOKUP(E182,nom_commune,villes_clients!E:E)*2</f>
        <v>20.412162969195503</v>
      </c>
      <c r="O182" s="5">
        <f>IF(F182="train",G182,_xlfn.XLOOKUP(B182,Num_Projet,Projets!G:G,0,0)*N182)</f>
        <v>209.83703532332976</v>
      </c>
      <c r="P182" s="5">
        <f>_xlfn.XLOOKUP(_xlfn.XLOOKUP(E182,nom_commune,villes_clients!D:D,0,0),Seuil_population,Nuitée,0,1) * J182</f>
        <v>75</v>
      </c>
      <c r="Q182" s="5">
        <f>_xlfn.XLOOKUP( _xlfn.CONCAT(A182,"-",_xlfn.XLOOKUP(A182,Matr,Consultants!E:E) ),Dernier_contrat,Contrats!D:D,0,0) * IF(J182&gt;0,J182,1)</f>
        <v>198</v>
      </c>
      <c r="R182" s="44">
        <f t="shared" si="5"/>
        <v>482.83703532332976</v>
      </c>
      <c r="S182" s="6">
        <f>( IF(F182="train", CO2_Train, _xlfn.XLOOKUP(I182,Immat_voitures,voitures_declarees!L:L,0,0)) * N182 ) / 1000</f>
        <v>2.2453379266115054</v>
      </c>
    </row>
    <row r="183" spans="1:19" x14ac:dyDescent="0.2">
      <c r="A183">
        <v>5211</v>
      </c>
      <c r="B183">
        <v>9437</v>
      </c>
      <c r="C183" s="3">
        <v>46438</v>
      </c>
      <c r="D183" s="3">
        <v>46447</v>
      </c>
      <c r="E183" t="s">
        <v>89</v>
      </c>
      <c r="F183" t="s">
        <v>82</v>
      </c>
      <c r="H183" t="s">
        <v>85</v>
      </c>
      <c r="I183" s="49" t="s">
        <v>102</v>
      </c>
      <c r="J183">
        <f t="shared" si="4"/>
        <v>6</v>
      </c>
      <c r="K183" t="str">
        <f>_xlfn.XLOOKUP($B183,Num_Projet,Projets!B:B,"Inexistant",0)</f>
        <v>E30</v>
      </c>
      <c r="L183" t="str">
        <f>_xlfn.XLOOKUP($B183,Num_Projet,Projets!C:C,"Inexistant",0)</f>
        <v>gouvernance</v>
      </c>
      <c r="M183" t="str">
        <f>_xlfn.XLOOKUP($B183,Num_Projet,Projets!D:D,"Inexistant",0)</f>
        <v>Cooperative Muvuca</v>
      </c>
      <c r="N183" s="6">
        <f>_xlfn.XLOOKUP(E183,nom_commune,villes_clients!E:E)*2</f>
        <v>823.6419507241809</v>
      </c>
      <c r="O183" s="5">
        <f>IF(F183="train",G183,_xlfn.XLOOKUP(B183,Num_Projet,Projets!G:G,0,0)*N183)</f>
        <v>5707.8387185185738</v>
      </c>
      <c r="P183" s="5">
        <f>_xlfn.XLOOKUP(_xlfn.XLOOKUP(E183,nom_commune,villes_clients!D:D,0,0),Seuil_population,Nuitée,0,1) * J183</f>
        <v>600</v>
      </c>
      <c r="Q183" s="5">
        <f>_xlfn.XLOOKUP( _xlfn.CONCAT(A183,"-",_xlfn.XLOOKUP(A183,Matr,Consultants!E:E) ),Dernier_contrat,Contrats!D:D,0,0) * IF(J183&gt;0,J183,1)</f>
        <v>1062</v>
      </c>
      <c r="R183" s="44">
        <f t="shared" si="5"/>
        <v>5792.8790388889302</v>
      </c>
      <c r="S183" s="6">
        <f>( IF(F183="train", CO2_Train, _xlfn.XLOOKUP(I183,Immat_voitures,voitures_declarees!L:L,0,0)) * N183 ) / 1000</f>
        <v>168.8465998984571</v>
      </c>
    </row>
    <row r="184" spans="1:19" x14ac:dyDescent="0.2">
      <c r="A184">
        <v>8988</v>
      </c>
      <c r="B184">
        <v>4641</v>
      </c>
      <c r="C184" s="3">
        <v>46440</v>
      </c>
      <c r="D184" s="3">
        <v>46444</v>
      </c>
      <c r="E184" t="s">
        <v>170</v>
      </c>
      <c r="F184" t="s">
        <v>82</v>
      </c>
      <c r="H184" t="s">
        <v>79</v>
      </c>
      <c r="I184" s="49" t="s">
        <v>107</v>
      </c>
      <c r="J184">
        <f t="shared" si="4"/>
        <v>5</v>
      </c>
      <c r="K184" t="str">
        <f>_xlfn.XLOOKUP($B184,Num_Projet,Projets!B:B,"Inexistant",0)</f>
        <v>Arche</v>
      </c>
      <c r="L184" t="str">
        <f>_xlfn.XLOOKUP($B184,Num_Projet,Projets!C:C,"Inexistant",0)</f>
        <v>systèmes d'information</v>
      </c>
      <c r="M184" t="str">
        <f>_xlfn.XLOOKUP($B184,Num_Projet,Projets!D:D,"Inexistant",0)</f>
        <v>Banque Invest</v>
      </c>
      <c r="N184" s="6">
        <f>_xlfn.XLOOKUP(E184,nom_commune,villes_clients!E:E)*2</f>
        <v>1161.0252128104009</v>
      </c>
      <c r="O184" s="5">
        <f>IF(F184="train",G184,_xlfn.XLOOKUP(B184,Num_Projet,Projets!G:G,0,0)*N184)</f>
        <v>13328.569443063403</v>
      </c>
      <c r="P184" s="5">
        <f>_xlfn.XLOOKUP(_xlfn.XLOOKUP(E184,nom_commune,villes_clients!D:D,0,0),Seuil_population,Nuitée,0,1) * J184</f>
        <v>375</v>
      </c>
      <c r="Q184" s="5">
        <f>_xlfn.XLOOKUP( _xlfn.CONCAT(A184,"-",_xlfn.XLOOKUP(A184,Matr,Consultants!E:E) ),Dernier_contrat,Contrats!D:D,0,0) * IF(J184&gt;0,J184,1)</f>
        <v>990</v>
      </c>
      <c r="R184" s="44">
        <f t="shared" si="5"/>
        <v>14693.569443063403</v>
      </c>
      <c r="S184" s="6">
        <f>( IF(F184="train", CO2_Train, _xlfn.XLOOKUP(I184,Immat_voitures,voitures_declarees!L:L,0,0)) * N184 ) / 1000</f>
        <v>248.45939554142581</v>
      </c>
    </row>
    <row r="185" spans="1:19" x14ac:dyDescent="0.2">
      <c r="A185">
        <v>4359</v>
      </c>
      <c r="B185">
        <v>4687</v>
      </c>
      <c r="C185" s="3">
        <v>46441</v>
      </c>
      <c r="D185" s="3">
        <v>46450</v>
      </c>
      <c r="E185" t="s">
        <v>97</v>
      </c>
      <c r="F185" t="s">
        <v>82</v>
      </c>
      <c r="H185" t="s">
        <v>85</v>
      </c>
      <c r="I185" s="49" t="s">
        <v>107</v>
      </c>
      <c r="J185">
        <f t="shared" si="4"/>
        <v>8</v>
      </c>
      <c r="K185" t="str">
        <f>_xlfn.XLOOKUP($B185,Num_Projet,Projets!B:B,"Inexistant",0)</f>
        <v>Mirage</v>
      </c>
      <c r="L185" t="str">
        <f>_xlfn.XLOOKUP($B185,Num_Projet,Projets!C:C,"Inexistant",0)</f>
        <v>cybersécurité</v>
      </c>
      <c r="M185" t="str">
        <f>_xlfn.XLOOKUP($B185,Num_Projet,Projets!D:D,"Inexistant",0)</f>
        <v>Banque Invest</v>
      </c>
      <c r="N185" s="6">
        <f>_xlfn.XLOOKUP(E185,nom_commune,villes_clients!E:E)*2</f>
        <v>19.500215685582329</v>
      </c>
      <c r="O185" s="5">
        <f>IF(F185="train",G185,_xlfn.XLOOKUP(B185,Num_Projet,Projets!G:G,0,0)*N185)</f>
        <v>165.36182901373817</v>
      </c>
      <c r="P185" s="5">
        <f>_xlfn.XLOOKUP(_xlfn.XLOOKUP(E185,nom_commune,villes_clients!D:D,0,0),Seuil_population,Nuitée,0,1) * J185</f>
        <v>400</v>
      </c>
      <c r="Q185" s="5">
        <f>_xlfn.XLOOKUP( _xlfn.CONCAT(A185,"-",_xlfn.XLOOKUP(A185,Matr,Consultants!E:E) ),Dernier_contrat,Contrats!D:D,0,0) * IF(J185&gt;0,J185,1)</f>
        <v>816</v>
      </c>
      <c r="R185" s="44">
        <f t="shared" si="5"/>
        <v>1240.0213717603037</v>
      </c>
      <c r="S185" s="6">
        <f>( IF(F185="train", CO2_Train, _xlfn.XLOOKUP(I185,Immat_voitures,voitures_declarees!L:L,0,0)) * N185 ) / 1000</f>
        <v>4.1730461567146184</v>
      </c>
    </row>
    <row r="186" spans="1:19" x14ac:dyDescent="0.2">
      <c r="A186">
        <v>4744</v>
      </c>
      <c r="B186">
        <v>4641</v>
      </c>
      <c r="C186" s="3">
        <v>46449</v>
      </c>
      <c r="D186" s="3">
        <v>46460</v>
      </c>
      <c r="E186" t="s">
        <v>173</v>
      </c>
      <c r="F186" t="s">
        <v>78</v>
      </c>
      <c r="G186" s="5">
        <v>222.73</v>
      </c>
      <c r="H186" t="s">
        <v>79</v>
      </c>
      <c r="J186">
        <f t="shared" si="4"/>
        <v>8</v>
      </c>
      <c r="K186" t="str">
        <f>_xlfn.XLOOKUP($B186,Num_Projet,Projets!B:B,"Inexistant",0)</f>
        <v>Arche</v>
      </c>
      <c r="L186" t="str">
        <f>_xlfn.XLOOKUP($B186,Num_Projet,Projets!C:C,"Inexistant",0)</f>
        <v>systèmes d'information</v>
      </c>
      <c r="M186" t="str">
        <f>_xlfn.XLOOKUP($B186,Num_Projet,Projets!D:D,"Inexistant",0)</f>
        <v>Banque Invest</v>
      </c>
      <c r="N186" s="6">
        <f>_xlfn.XLOOKUP(E186,nom_commune,villes_clients!E:E)*2</f>
        <v>788.28427562019067</v>
      </c>
      <c r="O186" s="5">
        <f>IF(F186="train",G186,_xlfn.XLOOKUP(B186,Num_Projet,Projets!G:G,0,0)*N186)</f>
        <v>222.73</v>
      </c>
      <c r="P186" s="5">
        <f>_xlfn.XLOOKUP(_xlfn.XLOOKUP(E186,nom_commune,villes_clients!D:D,0,0),Seuil_population,Nuitée,0,1) * J186</f>
        <v>600</v>
      </c>
      <c r="Q186" s="5">
        <f>_xlfn.XLOOKUP( _xlfn.CONCAT(A186,"-",_xlfn.XLOOKUP(A186,Matr,Consultants!E:E) ),Dernier_contrat,Contrats!D:D,0,0) * IF(J186&gt;0,J186,1)</f>
        <v>1016</v>
      </c>
      <c r="R186" s="44">
        <f t="shared" si="5"/>
        <v>1838.73</v>
      </c>
      <c r="S186" s="6">
        <f>( IF(F186="train", CO2_Train, _xlfn.XLOOKUP(I186,Immat_voitures,voitures_declarees!L:L,0,0)) * N186 ) / 1000</f>
        <v>1.5765685512403813</v>
      </c>
    </row>
    <row r="187" spans="1:19" x14ac:dyDescent="0.2">
      <c r="A187">
        <v>4641</v>
      </c>
      <c r="B187">
        <v>3850</v>
      </c>
      <c r="C187" s="3">
        <v>46453</v>
      </c>
      <c r="D187" s="3">
        <v>46460</v>
      </c>
      <c r="E187" t="s">
        <v>116</v>
      </c>
      <c r="F187" t="s">
        <v>82</v>
      </c>
      <c r="H187" t="s">
        <v>79</v>
      </c>
      <c r="I187" s="49" t="s">
        <v>92</v>
      </c>
      <c r="J187">
        <f t="shared" si="4"/>
        <v>5</v>
      </c>
      <c r="K187" t="str">
        <f>_xlfn.XLOOKUP($B187,Num_Projet,Projets!B:B,"Inexistant",0)</f>
        <v>Hercules</v>
      </c>
      <c r="L187" t="str">
        <f>_xlfn.XLOOKUP($B187,Num_Projet,Projets!C:C,"Inexistant",0)</f>
        <v>cybersécurité</v>
      </c>
      <c r="M187" t="str">
        <f>_xlfn.XLOOKUP($B187,Num_Projet,Projets!D:D,"Inexistant",0)</f>
        <v>Société AHT</v>
      </c>
      <c r="N187" s="6">
        <f>_xlfn.XLOOKUP(E187,nom_commune,villes_clients!E:E)*2</f>
        <v>430.97127785734853</v>
      </c>
      <c r="O187" s="5">
        <f>IF(F187="train",G187,_xlfn.XLOOKUP(B187,Num_Projet,Projets!G:G,0,0)*N187)</f>
        <v>5094.0805042738593</v>
      </c>
      <c r="P187" s="5">
        <f>_xlfn.XLOOKUP(_xlfn.XLOOKUP(E187,nom_commune,villes_clients!D:D,0,0),Seuil_population,Nuitée,0,1) * J187</f>
        <v>375</v>
      </c>
      <c r="Q187" s="5">
        <f>_xlfn.XLOOKUP( _xlfn.CONCAT(A187,"-",_xlfn.XLOOKUP(A187,Matr,Consultants!E:E) ),Dernier_contrat,Contrats!D:D,0,0) * IF(J187&gt;0,J187,1)</f>
        <v>685</v>
      </c>
      <c r="R187" s="44">
        <f t="shared" si="5"/>
        <v>6154.0805042738593</v>
      </c>
      <c r="S187" s="6">
        <f>( IF(F187="train", CO2_Train, _xlfn.XLOOKUP(I187,Immat_voitures,voitures_declarees!L:L,0,0)) * N187 ) / 1000</f>
        <v>66.800548067889011</v>
      </c>
    </row>
    <row r="188" spans="1:19" x14ac:dyDescent="0.2">
      <c r="A188">
        <v>3137</v>
      </c>
      <c r="B188">
        <v>6665</v>
      </c>
      <c r="C188" s="3">
        <v>46455</v>
      </c>
      <c r="D188" s="3">
        <v>46457</v>
      </c>
      <c r="E188" t="s">
        <v>97</v>
      </c>
      <c r="F188" t="s">
        <v>82</v>
      </c>
      <c r="H188" t="s">
        <v>79</v>
      </c>
      <c r="I188" s="49" t="s">
        <v>88</v>
      </c>
      <c r="J188">
        <f t="shared" si="4"/>
        <v>3</v>
      </c>
      <c r="K188" t="str">
        <f>_xlfn.XLOOKUP($B188,Num_Projet,Projets!B:B,"Inexistant",0)</f>
        <v>Orion</v>
      </c>
      <c r="L188" t="str">
        <f>_xlfn.XLOOKUP($B188,Num_Projet,Projets!C:C,"Inexistant",0)</f>
        <v>gouvernance</v>
      </c>
      <c r="M188" t="str">
        <f>_xlfn.XLOOKUP($B188,Num_Projet,Projets!D:D,"Inexistant",0)</f>
        <v>Industries Nova Tech</v>
      </c>
      <c r="N188" s="6">
        <f>_xlfn.XLOOKUP(E188,nom_commune,villes_clients!E:E)*2</f>
        <v>19.500215685582329</v>
      </c>
      <c r="O188" s="5">
        <f>IF(F188="train",G188,_xlfn.XLOOKUP(B188,Num_Projet,Projets!G:G,0,0)*N188)</f>
        <v>231.8575645015739</v>
      </c>
      <c r="P188" s="5">
        <f>_xlfn.XLOOKUP(_xlfn.XLOOKUP(E188,nom_commune,villes_clients!D:D,0,0),Seuil_population,Nuitée,0,1) * J188</f>
        <v>150</v>
      </c>
      <c r="Q188" s="5">
        <f>_xlfn.XLOOKUP( _xlfn.CONCAT(A188,"-",_xlfn.XLOOKUP(A188,Matr,Consultants!E:E) ),Dernier_contrat,Contrats!D:D,0,0) * IF(J188&gt;0,J188,1)</f>
        <v>588</v>
      </c>
      <c r="R188" s="44">
        <f t="shared" si="5"/>
        <v>969.85756450157396</v>
      </c>
      <c r="S188" s="6">
        <f>( IF(F188="train", CO2_Train, _xlfn.XLOOKUP(I188,Immat_voitures,voitures_declarees!L:L,0,0)) * N188 ) / 1000</f>
        <v>2.1450237254140561</v>
      </c>
    </row>
    <row r="189" spans="1:19" x14ac:dyDescent="0.2">
      <c r="A189">
        <v>5959</v>
      </c>
      <c r="B189">
        <v>4687</v>
      </c>
      <c r="C189" s="3">
        <v>46457</v>
      </c>
      <c r="D189" s="3">
        <v>46468</v>
      </c>
      <c r="E189" t="s">
        <v>134</v>
      </c>
      <c r="F189" t="s">
        <v>82</v>
      </c>
      <c r="H189" t="s">
        <v>79</v>
      </c>
      <c r="I189" s="49" t="s">
        <v>90</v>
      </c>
      <c r="J189">
        <f t="shared" si="4"/>
        <v>8</v>
      </c>
      <c r="K189" t="str">
        <f>_xlfn.XLOOKUP($B189,Num_Projet,Projets!B:B,"Inexistant",0)</f>
        <v>Mirage</v>
      </c>
      <c r="L189" t="str">
        <f>_xlfn.XLOOKUP($B189,Num_Projet,Projets!C:C,"Inexistant",0)</f>
        <v>cybersécurité</v>
      </c>
      <c r="M189" t="str">
        <f>_xlfn.XLOOKUP($B189,Num_Projet,Projets!D:D,"Inexistant",0)</f>
        <v>Banque Invest</v>
      </c>
      <c r="N189" s="6">
        <f>_xlfn.XLOOKUP(E189,nom_commune,villes_clients!E:E)*2</f>
        <v>994.80960070076435</v>
      </c>
      <c r="O189" s="5">
        <f>IF(F189="train",G189,_xlfn.XLOOKUP(B189,Num_Projet,Projets!G:G,0,0)*N189)</f>
        <v>8435.9854139424824</v>
      </c>
      <c r="P189" s="5">
        <f>_xlfn.XLOOKUP(_xlfn.XLOOKUP(E189,nom_commune,villes_clients!D:D,0,0),Seuil_population,Nuitée,0,1) * J189</f>
        <v>800</v>
      </c>
      <c r="Q189" s="5">
        <f>_xlfn.XLOOKUP( _xlfn.CONCAT(A189,"-",_xlfn.XLOOKUP(A189,Matr,Consultants!E:E) ),Dernier_contrat,Contrats!D:D,0,0) * IF(J189&gt;0,J189,1)</f>
        <v>1584</v>
      </c>
      <c r="R189" s="44">
        <f t="shared" si="5"/>
        <v>10819.985413942482</v>
      </c>
      <c r="S189" s="6">
        <f>( IF(F189="train", CO2_Train, _xlfn.XLOOKUP(I189,Immat_voitures,voitures_declarees!L:L,0,0)) * N189 ) / 1000</f>
        <v>294.46364180742626</v>
      </c>
    </row>
    <row r="190" spans="1:19" x14ac:dyDescent="0.2">
      <c r="A190">
        <v>8810</v>
      </c>
      <c r="B190">
        <v>7717</v>
      </c>
      <c r="C190" s="3">
        <v>46457</v>
      </c>
      <c r="D190" s="3">
        <v>46466</v>
      </c>
      <c r="E190" t="s">
        <v>113</v>
      </c>
      <c r="F190" t="s">
        <v>78</v>
      </c>
      <c r="G190" s="5">
        <v>284.07</v>
      </c>
      <c r="H190" t="s">
        <v>85</v>
      </c>
      <c r="J190">
        <f t="shared" si="4"/>
        <v>7</v>
      </c>
      <c r="K190" t="str">
        <f>_xlfn.XLOOKUP($B190,Num_Projet,Projets!B:B,"Inexistant",0)</f>
        <v>Alpha</v>
      </c>
      <c r="L190" t="str">
        <f>_xlfn.XLOOKUP($B190,Num_Projet,Projets!C:C,"Inexistant",0)</f>
        <v>gouvernance</v>
      </c>
      <c r="M190" t="str">
        <f>_xlfn.XLOOKUP($B190,Num_Projet,Projets!D:D,"Inexistant",0)</f>
        <v>Industries Nova Tech</v>
      </c>
      <c r="N190" s="6">
        <f>_xlfn.XLOOKUP(E190,nom_commune,villes_clients!E:E)*2</f>
        <v>959.88687124935257</v>
      </c>
      <c r="O190" s="5">
        <f>IF(F190="train",G190,_xlfn.XLOOKUP(B190,Num_Projet,Projets!G:G,0,0)*N190)</f>
        <v>284.07</v>
      </c>
      <c r="P190" s="5">
        <f>_xlfn.XLOOKUP(_xlfn.XLOOKUP(E190,nom_commune,villes_clients!D:D,0,0),Seuil_population,Nuitée,0,1) * J190</f>
        <v>350</v>
      </c>
      <c r="Q190" s="5">
        <f>_xlfn.XLOOKUP( _xlfn.CONCAT(A190,"-",_xlfn.XLOOKUP(A190,Matr,Consultants!E:E) ),Dernier_contrat,Contrats!D:D,0,0) * IF(J190&gt;0,J190,1)</f>
        <v>1309</v>
      </c>
      <c r="R190" s="44">
        <f t="shared" si="5"/>
        <v>1784.5525</v>
      </c>
      <c r="S190" s="6">
        <f>( IF(F190="train", CO2_Train, _xlfn.XLOOKUP(I190,Immat_voitures,voitures_declarees!L:L,0,0)) * N190 ) / 1000</f>
        <v>1.9197737424987051</v>
      </c>
    </row>
    <row r="191" spans="1:19" x14ac:dyDescent="0.2">
      <c r="A191">
        <v>6423</v>
      </c>
      <c r="B191">
        <v>7371</v>
      </c>
      <c r="C191" s="3">
        <v>46458</v>
      </c>
      <c r="D191" s="3">
        <v>46472</v>
      </c>
      <c r="E191" t="s">
        <v>119</v>
      </c>
      <c r="F191" t="s">
        <v>82</v>
      </c>
      <c r="H191" t="s">
        <v>85</v>
      </c>
      <c r="I191" s="49" t="s">
        <v>112</v>
      </c>
      <c r="J191">
        <f t="shared" si="4"/>
        <v>11</v>
      </c>
      <c r="K191" t="str">
        <f>_xlfn.XLOOKUP($B191,Num_Projet,Projets!B:B,"Inexistant",0)</f>
        <v>Infra2</v>
      </c>
      <c r="L191" t="str">
        <f>_xlfn.XLOOKUP($B191,Num_Projet,Projets!C:C,"Inexistant",0)</f>
        <v>cybersécurité</v>
      </c>
      <c r="M191" t="str">
        <f>_xlfn.XLOOKUP($B191,Num_Projet,Projets!D:D,"Inexistant",0)</f>
        <v>Société AHT</v>
      </c>
      <c r="N191" s="6">
        <f>_xlfn.XLOOKUP(E191,nom_commune,villes_clients!E:E)*2</f>
        <v>11.430453806573089</v>
      </c>
      <c r="O191" s="5">
        <f>IF(F191="train",G191,_xlfn.XLOOKUP(B191,Num_Projet,Projets!G:G,0,0)*N191)</f>
        <v>102.98838879722354</v>
      </c>
      <c r="P191" s="5">
        <f>_xlfn.XLOOKUP(_xlfn.XLOOKUP(E191,nom_commune,villes_clients!D:D,0,0),Seuil_population,Nuitée,0,1) * J191</f>
        <v>550</v>
      </c>
      <c r="Q191" s="5">
        <f>_xlfn.XLOOKUP( _xlfn.CONCAT(A191,"-",_xlfn.XLOOKUP(A191,Matr,Consultants!E:E) ),Dernier_contrat,Contrats!D:D,0,0) * IF(J191&gt;0,J191,1)</f>
        <v>2299</v>
      </c>
      <c r="R191" s="44">
        <f t="shared" si="5"/>
        <v>2788.7412915979176</v>
      </c>
      <c r="S191" s="6">
        <f>( IF(F191="train", CO2_Train, _xlfn.XLOOKUP(I191,Immat_voitures,voitures_declarees!L:L,0,0)) * N191 ) / 1000</f>
        <v>1.1773367420770282</v>
      </c>
    </row>
    <row r="192" spans="1:19" x14ac:dyDescent="0.2">
      <c r="A192">
        <v>5607</v>
      </c>
      <c r="B192">
        <v>1309</v>
      </c>
      <c r="C192" s="3">
        <v>46458</v>
      </c>
      <c r="D192" s="3">
        <v>46467</v>
      </c>
      <c r="E192" t="s">
        <v>140</v>
      </c>
      <c r="F192" t="s">
        <v>82</v>
      </c>
      <c r="H192" t="s">
        <v>85</v>
      </c>
      <c r="I192" s="49" t="s">
        <v>114</v>
      </c>
      <c r="J192">
        <f t="shared" si="4"/>
        <v>6</v>
      </c>
      <c r="K192" t="str">
        <f>_xlfn.XLOOKUP($B192,Num_Projet,Projets!B:B,"Inexistant",0)</f>
        <v>Arc25</v>
      </c>
      <c r="L192" t="str">
        <f>_xlfn.XLOOKUP($B192,Num_Projet,Projets!C:C,"Inexistant",0)</f>
        <v>intelligence artificielle</v>
      </c>
      <c r="M192" t="str">
        <f>_xlfn.XLOOKUP($B192,Num_Projet,Projets!D:D,"Inexistant",0)</f>
        <v>Banque Invest</v>
      </c>
      <c r="N192" s="6">
        <f>_xlfn.XLOOKUP(E192,nom_commune,villes_clients!E:E)*2</f>
        <v>1233.7826267272476</v>
      </c>
      <c r="O192" s="5">
        <f>IF(F192="train",G192,_xlfn.XLOOKUP(B192,Num_Projet,Projets!G:G,0,0)*N192)</f>
        <v>11178.070598148865</v>
      </c>
      <c r="P192" s="5">
        <f>_xlfn.XLOOKUP(_xlfn.XLOOKUP(E192,nom_commune,villes_clients!D:D,0,0),Seuil_population,Nuitée,0,1) * J192</f>
        <v>300</v>
      </c>
      <c r="Q192" s="5">
        <f>_xlfn.XLOOKUP( _xlfn.CONCAT(A192,"-",_xlfn.XLOOKUP(A192,Matr,Consultants!E:E) ),Dernier_contrat,Contrats!D:D,0,0) * IF(J192&gt;0,J192,1)</f>
        <v>624</v>
      </c>
      <c r="R192" s="44">
        <f t="shared" si="5"/>
        <v>9232.5529486116484</v>
      </c>
      <c r="S192" s="6">
        <f>( IF(F192="train", CO2_Train, _xlfn.XLOOKUP(I192,Immat_voitures,voitures_declarees!L:L,0,0)) * N192 ) / 1000</f>
        <v>246.75652534544952</v>
      </c>
    </row>
    <row r="193" spans="1:19" x14ac:dyDescent="0.2">
      <c r="A193">
        <v>3772</v>
      </c>
      <c r="B193">
        <v>7717</v>
      </c>
      <c r="C193" s="3">
        <v>46462</v>
      </c>
      <c r="D193" s="3">
        <v>46462</v>
      </c>
      <c r="E193" t="s">
        <v>169</v>
      </c>
      <c r="F193" t="s">
        <v>82</v>
      </c>
      <c r="H193" t="s">
        <v>79</v>
      </c>
      <c r="I193" s="49" t="s">
        <v>107</v>
      </c>
      <c r="J193">
        <f t="shared" si="4"/>
        <v>1</v>
      </c>
      <c r="K193" t="str">
        <f>_xlfn.XLOOKUP($B193,Num_Projet,Projets!B:B,"Inexistant",0)</f>
        <v>Alpha</v>
      </c>
      <c r="L193" t="str">
        <f>_xlfn.XLOOKUP($B193,Num_Projet,Projets!C:C,"Inexistant",0)</f>
        <v>gouvernance</v>
      </c>
      <c r="M193" t="str">
        <f>_xlfn.XLOOKUP($B193,Num_Projet,Projets!D:D,"Inexistant",0)</f>
        <v>Industries Nova Tech</v>
      </c>
      <c r="N193" s="6">
        <f>_xlfn.XLOOKUP(E193,nom_commune,villes_clients!E:E)*2</f>
        <v>371.16328358772228</v>
      </c>
      <c r="O193" s="5">
        <f>IF(F193="train",G193,_xlfn.XLOOKUP(B193,Num_Projet,Projets!G:G,0,0)*N193)</f>
        <v>3125.1948478086215</v>
      </c>
      <c r="P193" s="5">
        <f>_xlfn.XLOOKUP(_xlfn.XLOOKUP(E193,nom_commune,villes_clients!D:D,0,0),Seuil_population,Nuitée,0,1) * J193</f>
        <v>75</v>
      </c>
      <c r="Q193" s="5">
        <f>_xlfn.XLOOKUP( _xlfn.CONCAT(A193,"-",_xlfn.XLOOKUP(A193,Matr,Consultants!E:E) ),Dernier_contrat,Contrats!D:D,0,0) * IF(J193&gt;0,J193,1)</f>
        <v>205</v>
      </c>
      <c r="R193" s="44">
        <f t="shared" si="5"/>
        <v>3405.1948478086215</v>
      </c>
      <c r="S193" s="6">
        <f>( IF(F193="train", CO2_Train, _xlfn.XLOOKUP(I193,Immat_voitures,voitures_declarees!L:L,0,0)) * N193 ) / 1000</f>
        <v>79.428942687772562</v>
      </c>
    </row>
    <row r="194" spans="1:19" x14ac:dyDescent="0.2">
      <c r="A194">
        <v>8810</v>
      </c>
      <c r="B194">
        <v>3394</v>
      </c>
      <c r="C194" s="3">
        <v>46469</v>
      </c>
      <c r="D194" s="3">
        <v>46476</v>
      </c>
      <c r="E194" t="s">
        <v>150</v>
      </c>
      <c r="F194" t="s">
        <v>82</v>
      </c>
      <c r="H194" t="s">
        <v>85</v>
      </c>
      <c r="I194" s="49" t="s">
        <v>88</v>
      </c>
      <c r="J194">
        <f t="shared" ref="J194:J214" si="6">NETWORKDAYS(C194,D194,Jours_Fériés)</f>
        <v>5</v>
      </c>
      <c r="K194" t="str">
        <f>_xlfn.XLOOKUP($B194,Num_Projet,Projets!B:B,"Inexistant",0)</f>
        <v>NextGen</v>
      </c>
      <c r="L194" t="str">
        <f>_xlfn.XLOOKUP($B194,Num_Projet,Projets!C:C,"Inexistant",0)</f>
        <v>transformation digital</v>
      </c>
      <c r="M194" t="str">
        <f>_xlfn.XLOOKUP($B194,Num_Projet,Projets!D:D,"Inexistant",0)</f>
        <v>Cooperative Muvuca</v>
      </c>
      <c r="N194" s="6">
        <f>_xlfn.XLOOKUP(E194,nom_commune,villes_clients!E:E)*2</f>
        <v>694.23863342015648</v>
      </c>
      <c r="O194" s="5">
        <f>IF(F194="train",G194,_xlfn.XLOOKUP(B194,Num_Projet,Projets!G:G,0,0)*N194)</f>
        <v>5894.0859977371283</v>
      </c>
      <c r="P194" s="5">
        <f>_xlfn.XLOOKUP(_xlfn.XLOOKUP(E194,nom_commune,villes_clients!D:D,0,0),Seuil_population,Nuitée,0,1) * J194</f>
        <v>375</v>
      </c>
      <c r="Q194" s="5">
        <f>_xlfn.XLOOKUP( _xlfn.CONCAT(A194,"-",_xlfn.XLOOKUP(A194,Matr,Consultants!E:E) ),Dernier_contrat,Contrats!D:D,0,0) * IF(J194&gt;0,J194,1)</f>
        <v>935</v>
      </c>
      <c r="R194" s="44">
        <f t="shared" si="5"/>
        <v>5636.814498302846</v>
      </c>
      <c r="S194" s="6">
        <f>( IF(F194="train", CO2_Train, _xlfn.XLOOKUP(I194,Immat_voitures,voitures_declarees!L:L,0,0)) * N194 ) / 1000</f>
        <v>76.366249676217208</v>
      </c>
    </row>
    <row r="195" spans="1:19" x14ac:dyDescent="0.2">
      <c r="A195">
        <v>5607</v>
      </c>
      <c r="B195">
        <v>7371</v>
      </c>
      <c r="C195" s="3">
        <v>46471</v>
      </c>
      <c r="D195" s="3">
        <v>46475</v>
      </c>
      <c r="E195" t="s">
        <v>171</v>
      </c>
      <c r="F195" t="s">
        <v>78</v>
      </c>
      <c r="G195" s="5">
        <v>102.55</v>
      </c>
      <c r="H195" t="s">
        <v>85</v>
      </c>
      <c r="J195">
        <f t="shared" si="6"/>
        <v>2</v>
      </c>
      <c r="K195" t="str">
        <f>_xlfn.XLOOKUP($B195,Num_Projet,Projets!B:B,"Inexistant",0)</f>
        <v>Infra2</v>
      </c>
      <c r="L195" t="str">
        <f>_xlfn.XLOOKUP($B195,Num_Projet,Projets!C:C,"Inexistant",0)</f>
        <v>cybersécurité</v>
      </c>
      <c r="M195" t="str">
        <f>_xlfn.XLOOKUP($B195,Num_Projet,Projets!D:D,"Inexistant",0)</f>
        <v>Société AHT</v>
      </c>
      <c r="N195" s="6">
        <f>_xlfn.XLOOKUP(E195,nom_commune,villes_clients!E:E)*2</f>
        <v>567.5087752446691</v>
      </c>
      <c r="O195" s="5">
        <f>IF(F195="train",G195,_xlfn.XLOOKUP(B195,Num_Projet,Projets!G:G,0,0)*N195)</f>
        <v>102.55</v>
      </c>
      <c r="P195" s="5">
        <f>_xlfn.XLOOKUP(_xlfn.XLOOKUP(E195,nom_commune,villes_clients!D:D,0,0),Seuil_population,Nuitée,0,1) * J195</f>
        <v>150</v>
      </c>
      <c r="Q195" s="5">
        <f>_xlfn.XLOOKUP( _xlfn.CONCAT(A195,"-",_xlfn.XLOOKUP(A195,Matr,Consultants!E:E) ),Dernier_contrat,Contrats!D:D,0,0) * IF(J195&gt;0,J195,1)</f>
        <v>208</v>
      </c>
      <c r="R195" s="44">
        <f t="shared" ref="R195:R214" si="7">Q195 + SUM(O195:P195) * IF(H195 = "Oui",1,0.75)</f>
        <v>397.41250000000002</v>
      </c>
      <c r="S195" s="6">
        <f>( IF(F195="train", CO2_Train, _xlfn.XLOOKUP(I195,Immat_voitures,voitures_declarees!L:L,0,0)) * N195 ) / 1000</f>
        <v>1.1350175504893383</v>
      </c>
    </row>
    <row r="196" spans="1:19" x14ac:dyDescent="0.2">
      <c r="A196">
        <v>3582</v>
      </c>
      <c r="B196">
        <v>4641</v>
      </c>
      <c r="C196" s="3">
        <v>46474</v>
      </c>
      <c r="D196" s="3">
        <v>46486</v>
      </c>
      <c r="E196" t="s">
        <v>80</v>
      </c>
      <c r="F196" t="s">
        <v>82</v>
      </c>
      <c r="H196" t="s">
        <v>79</v>
      </c>
      <c r="I196" s="49" t="s">
        <v>83</v>
      </c>
      <c r="J196">
        <f t="shared" si="6"/>
        <v>9</v>
      </c>
      <c r="K196" t="str">
        <f>_xlfn.XLOOKUP($B196,Num_Projet,Projets!B:B,"Inexistant",0)</f>
        <v>Arche</v>
      </c>
      <c r="L196" t="str">
        <f>_xlfn.XLOOKUP($B196,Num_Projet,Projets!C:C,"Inexistant",0)</f>
        <v>systèmes d'information</v>
      </c>
      <c r="M196" t="str">
        <f>_xlfn.XLOOKUP($B196,Num_Projet,Projets!D:D,"Inexistant",0)</f>
        <v>Banque Invest</v>
      </c>
      <c r="N196" s="6">
        <f>_xlfn.XLOOKUP(E196,nom_commune,villes_clients!E:E)*2</f>
        <v>402.24192193177629</v>
      </c>
      <c r="O196" s="5">
        <f>IF(F196="train",G196,_xlfn.XLOOKUP(B196,Num_Projet,Projets!G:G,0,0)*N196)</f>
        <v>4617.7372637767921</v>
      </c>
      <c r="P196" s="5">
        <f>_xlfn.XLOOKUP(_xlfn.XLOOKUP(E196,nom_commune,villes_clients!D:D,0,0),Seuil_population,Nuitée,0,1) * J196</f>
        <v>675</v>
      </c>
      <c r="Q196" s="5">
        <f>_xlfn.XLOOKUP( _xlfn.CONCAT(A196,"-",_xlfn.XLOOKUP(A196,Matr,Consultants!E:E) ),Dernier_contrat,Contrats!D:D,0,0) * IF(J196&gt;0,J196,1)</f>
        <v>756</v>
      </c>
      <c r="R196" s="44">
        <f t="shared" si="7"/>
        <v>6048.7372637767921</v>
      </c>
      <c r="S196" s="6">
        <f>( IF(F196="train", CO2_Train, _xlfn.XLOOKUP(I196,Immat_voitures,voitures_declarees!L:L,0,0)) * N196 ) / 1000</f>
        <v>72.00130402578796</v>
      </c>
    </row>
    <row r="197" spans="1:19" x14ac:dyDescent="0.2">
      <c r="A197">
        <v>3772</v>
      </c>
      <c r="B197">
        <v>3987</v>
      </c>
      <c r="C197" s="3">
        <v>46475</v>
      </c>
      <c r="D197" s="3">
        <v>46484</v>
      </c>
      <c r="E197" t="s">
        <v>146</v>
      </c>
      <c r="F197" t="s">
        <v>78</v>
      </c>
      <c r="G197" s="5">
        <v>275.07</v>
      </c>
      <c r="H197" t="s">
        <v>85</v>
      </c>
      <c r="J197">
        <f t="shared" si="6"/>
        <v>7</v>
      </c>
      <c r="K197" t="str">
        <f>_xlfn.XLOOKUP($B197,Num_Projet,Projets!B:B,"Inexistant",0)</f>
        <v>Gamma</v>
      </c>
      <c r="L197" t="str">
        <f>_xlfn.XLOOKUP($B197,Num_Projet,Projets!C:C,"Inexistant",0)</f>
        <v>gouvernance</v>
      </c>
      <c r="M197" t="str">
        <f>_xlfn.XLOOKUP($B197,Num_Projet,Projets!D:D,"Inexistant",0)</f>
        <v>Cooperative Muvuca</v>
      </c>
      <c r="N197" s="6">
        <f>_xlfn.XLOOKUP(E197,nom_commune,villes_clients!E:E)*2</f>
        <v>1382.3441482382368</v>
      </c>
      <c r="O197" s="5">
        <f>IF(F197="train",G197,_xlfn.XLOOKUP(B197,Num_Projet,Projets!G:G,0,0)*N197)</f>
        <v>275.07</v>
      </c>
      <c r="P197" s="5">
        <f>_xlfn.XLOOKUP(_xlfn.XLOOKUP(E197,nom_commune,villes_clients!D:D,0,0),Seuil_population,Nuitée,0,1) * J197</f>
        <v>350</v>
      </c>
      <c r="Q197" s="5">
        <f>_xlfn.XLOOKUP( _xlfn.CONCAT(A197,"-",_xlfn.XLOOKUP(A197,Matr,Consultants!E:E) ),Dernier_contrat,Contrats!D:D,0,0) * IF(J197&gt;0,J197,1)</f>
        <v>1435</v>
      </c>
      <c r="R197" s="44">
        <f t="shared" si="7"/>
        <v>1903.8025</v>
      </c>
      <c r="S197" s="6">
        <f>( IF(F197="train", CO2_Train, _xlfn.XLOOKUP(I197,Immat_voitures,voitures_declarees!L:L,0,0)) * N197 ) / 1000</f>
        <v>2.7646882964764736</v>
      </c>
    </row>
    <row r="198" spans="1:19" x14ac:dyDescent="0.2">
      <c r="A198">
        <v>5211</v>
      </c>
      <c r="B198">
        <v>7717</v>
      </c>
      <c r="C198" s="3">
        <v>46476</v>
      </c>
      <c r="D198" s="3">
        <v>46481</v>
      </c>
      <c r="E198" t="s">
        <v>140</v>
      </c>
      <c r="F198" t="s">
        <v>78</v>
      </c>
      <c r="G198" s="5">
        <v>306.04000000000002</v>
      </c>
      <c r="H198" t="s">
        <v>79</v>
      </c>
      <c r="J198">
        <f t="shared" si="6"/>
        <v>4</v>
      </c>
      <c r="K198" t="str">
        <f>_xlfn.XLOOKUP($B198,Num_Projet,Projets!B:B,"Inexistant",0)</f>
        <v>Alpha</v>
      </c>
      <c r="L198" t="str">
        <f>_xlfn.XLOOKUP($B198,Num_Projet,Projets!C:C,"Inexistant",0)</f>
        <v>gouvernance</v>
      </c>
      <c r="M198" t="str">
        <f>_xlfn.XLOOKUP($B198,Num_Projet,Projets!D:D,"Inexistant",0)</f>
        <v>Industries Nova Tech</v>
      </c>
      <c r="N198" s="6">
        <f>_xlfn.XLOOKUP(E198,nom_commune,villes_clients!E:E)*2</f>
        <v>1233.7826267272476</v>
      </c>
      <c r="O198" s="5">
        <f>IF(F198="train",G198,_xlfn.XLOOKUP(B198,Num_Projet,Projets!G:G,0,0)*N198)</f>
        <v>306.04000000000002</v>
      </c>
      <c r="P198" s="5">
        <f>_xlfn.XLOOKUP(_xlfn.XLOOKUP(E198,nom_commune,villes_clients!D:D,0,0),Seuil_population,Nuitée,0,1) * J198</f>
        <v>200</v>
      </c>
      <c r="Q198" s="5">
        <f>_xlfn.XLOOKUP( _xlfn.CONCAT(A198,"-",_xlfn.XLOOKUP(A198,Matr,Consultants!E:E) ),Dernier_contrat,Contrats!D:D,0,0) * IF(J198&gt;0,J198,1)</f>
        <v>708</v>
      </c>
      <c r="R198" s="44">
        <f t="shared" si="7"/>
        <v>1214.04</v>
      </c>
      <c r="S198" s="6">
        <f>( IF(F198="train", CO2_Train, _xlfn.XLOOKUP(I198,Immat_voitures,voitures_declarees!L:L,0,0)) * N198 ) / 1000</f>
        <v>2.4675652534544952</v>
      </c>
    </row>
    <row r="199" spans="1:19" x14ac:dyDescent="0.2">
      <c r="A199">
        <v>3137</v>
      </c>
      <c r="B199">
        <v>2776</v>
      </c>
      <c r="C199" s="3">
        <v>46483</v>
      </c>
      <c r="D199" s="3">
        <v>46491</v>
      </c>
      <c r="E199" t="s">
        <v>98</v>
      </c>
      <c r="F199" t="s">
        <v>82</v>
      </c>
      <c r="H199" t="s">
        <v>85</v>
      </c>
      <c r="I199" s="49" t="s">
        <v>90</v>
      </c>
      <c r="J199">
        <f t="shared" si="6"/>
        <v>7</v>
      </c>
      <c r="K199" t="str">
        <f>_xlfn.XLOOKUP($B199,Num_Projet,Projets!B:B,"Inexistant",0)</f>
        <v>Destroyer</v>
      </c>
      <c r="L199" t="str">
        <f>_xlfn.XLOOKUP($B199,Num_Projet,Projets!C:C,"Inexistant",0)</f>
        <v>gouvernance</v>
      </c>
      <c r="M199" t="str">
        <f>_xlfn.XLOOKUP($B199,Num_Projet,Projets!D:D,"Inexistant",0)</f>
        <v>Groupe Oignon</v>
      </c>
      <c r="N199" s="6">
        <f>_xlfn.XLOOKUP(E199,nom_commune,villes_clients!E:E)*2</f>
        <v>231.0560317820871</v>
      </c>
      <c r="O199" s="5">
        <f>IF(F199="train",G199,_xlfn.XLOOKUP(B199,Num_Projet,Projets!G:G,0,0)*N199)</f>
        <v>2375.2560067198551</v>
      </c>
      <c r="P199" s="5">
        <f>_xlfn.XLOOKUP(_xlfn.XLOOKUP(E199,nom_commune,villes_clients!D:D,0,0),Seuil_population,Nuitée,0,1) * J199</f>
        <v>525</v>
      </c>
      <c r="Q199" s="5">
        <f>_xlfn.XLOOKUP( _xlfn.CONCAT(A199,"-",_xlfn.XLOOKUP(A199,Matr,Consultants!E:E) ),Dernier_contrat,Contrats!D:D,0,0) * IF(J199&gt;0,J199,1)</f>
        <v>1372</v>
      </c>
      <c r="R199" s="44">
        <f t="shared" si="7"/>
        <v>3547.1920050398912</v>
      </c>
      <c r="S199" s="6">
        <f>( IF(F199="train", CO2_Train, _xlfn.XLOOKUP(I199,Immat_voitures,voitures_declarees!L:L,0,0)) * N199 ) / 1000</f>
        <v>68.392585407497776</v>
      </c>
    </row>
    <row r="200" spans="1:19" x14ac:dyDescent="0.2">
      <c r="A200">
        <v>5959</v>
      </c>
      <c r="B200">
        <v>4641</v>
      </c>
      <c r="C200" s="3">
        <v>46485</v>
      </c>
      <c r="D200" s="3">
        <v>46487</v>
      </c>
      <c r="E200" t="s">
        <v>81</v>
      </c>
      <c r="F200" t="s">
        <v>82</v>
      </c>
      <c r="H200" t="s">
        <v>79</v>
      </c>
      <c r="I200" s="49" t="s">
        <v>90</v>
      </c>
      <c r="J200">
        <f t="shared" si="6"/>
        <v>2</v>
      </c>
      <c r="K200" t="str">
        <f>_xlfn.XLOOKUP($B200,Num_Projet,Projets!B:B,"Inexistant",0)</f>
        <v>Arche</v>
      </c>
      <c r="L200" t="str">
        <f>_xlfn.XLOOKUP($B200,Num_Projet,Projets!C:C,"Inexistant",0)</f>
        <v>systèmes d'information</v>
      </c>
      <c r="M200" t="str">
        <f>_xlfn.XLOOKUP($B200,Num_Projet,Projets!D:D,"Inexistant",0)</f>
        <v>Banque Invest</v>
      </c>
      <c r="N200" s="6">
        <f>_xlfn.XLOOKUP(E200,nom_commune,villes_clients!E:E)*2</f>
        <v>15.392820720650741</v>
      </c>
      <c r="O200" s="5">
        <f>IF(F200="train",G200,_xlfn.XLOOKUP(B200,Num_Projet,Projets!G:G,0,0)*N200)</f>
        <v>176.7095818730705</v>
      </c>
      <c r="P200" s="5">
        <f>_xlfn.XLOOKUP(_xlfn.XLOOKUP(E200,nom_commune,villes_clients!D:D,0,0),Seuil_population,Nuitée,0,1) * J200</f>
        <v>150</v>
      </c>
      <c r="Q200" s="5">
        <f>_xlfn.XLOOKUP( _xlfn.CONCAT(A200,"-",_xlfn.XLOOKUP(A200,Matr,Consultants!E:E) ),Dernier_contrat,Contrats!D:D,0,0) * IF(J200&gt;0,J200,1)</f>
        <v>396</v>
      </c>
      <c r="R200" s="44">
        <f t="shared" si="7"/>
        <v>722.70958187307053</v>
      </c>
      <c r="S200" s="6">
        <f>( IF(F200="train", CO2_Train, _xlfn.XLOOKUP(I200,Immat_voitures,voitures_declarees!L:L,0,0)) * N200 ) / 1000</f>
        <v>4.5562749333126193</v>
      </c>
    </row>
    <row r="201" spans="1:19" x14ac:dyDescent="0.2">
      <c r="A201">
        <v>4641</v>
      </c>
      <c r="B201">
        <v>3987</v>
      </c>
      <c r="C201" s="3">
        <v>46486</v>
      </c>
      <c r="D201" s="3">
        <v>46498</v>
      </c>
      <c r="E201" t="s">
        <v>171</v>
      </c>
      <c r="F201" t="s">
        <v>78</v>
      </c>
      <c r="G201" s="5">
        <v>178.93</v>
      </c>
      <c r="H201" t="s">
        <v>79</v>
      </c>
      <c r="J201">
        <f t="shared" si="6"/>
        <v>9</v>
      </c>
      <c r="K201" t="str">
        <f>_xlfn.XLOOKUP($B201,Num_Projet,Projets!B:B,"Inexistant",0)</f>
        <v>Gamma</v>
      </c>
      <c r="L201" t="str">
        <f>_xlfn.XLOOKUP($B201,Num_Projet,Projets!C:C,"Inexistant",0)</f>
        <v>gouvernance</v>
      </c>
      <c r="M201" t="str">
        <f>_xlfn.XLOOKUP($B201,Num_Projet,Projets!D:D,"Inexistant",0)</f>
        <v>Cooperative Muvuca</v>
      </c>
      <c r="N201" s="6">
        <f>_xlfn.XLOOKUP(E201,nom_commune,villes_clients!E:E)*2</f>
        <v>567.5087752446691</v>
      </c>
      <c r="O201" s="5">
        <f>IF(F201="train",G201,_xlfn.XLOOKUP(B201,Num_Projet,Projets!G:G,0,0)*N201)</f>
        <v>178.93</v>
      </c>
      <c r="P201" s="5">
        <f>_xlfn.XLOOKUP(_xlfn.XLOOKUP(E201,nom_commune,villes_clients!D:D,0,0),Seuil_population,Nuitée,0,1) * J201</f>
        <v>675</v>
      </c>
      <c r="Q201" s="5">
        <f>_xlfn.XLOOKUP( _xlfn.CONCAT(A201,"-",_xlfn.XLOOKUP(A201,Matr,Consultants!E:E) ),Dernier_contrat,Contrats!D:D,0,0) * IF(J201&gt;0,J201,1)</f>
        <v>1233</v>
      </c>
      <c r="R201" s="44">
        <f t="shared" si="7"/>
        <v>2086.9300000000003</v>
      </c>
      <c r="S201" s="6">
        <f>( IF(F201="train", CO2_Train, _xlfn.XLOOKUP(I201,Immat_voitures,voitures_declarees!L:L,0,0)) * N201 ) / 1000</f>
        <v>1.1350175504893383</v>
      </c>
    </row>
    <row r="202" spans="1:19" x14ac:dyDescent="0.2">
      <c r="A202">
        <v>5211</v>
      </c>
      <c r="B202">
        <v>6665</v>
      </c>
      <c r="C202" s="3">
        <v>46489</v>
      </c>
      <c r="D202" s="3">
        <v>46504</v>
      </c>
      <c r="E202" t="s">
        <v>157</v>
      </c>
      <c r="F202" t="s">
        <v>82</v>
      </c>
      <c r="H202" t="s">
        <v>79</v>
      </c>
      <c r="I202" s="49" t="s">
        <v>107</v>
      </c>
      <c r="J202">
        <f t="shared" si="6"/>
        <v>12</v>
      </c>
      <c r="K202" t="str">
        <f>_xlfn.XLOOKUP($B202,Num_Projet,Projets!B:B,"Inexistant",0)</f>
        <v>Orion</v>
      </c>
      <c r="L202" t="str">
        <f>_xlfn.XLOOKUP($B202,Num_Projet,Projets!C:C,"Inexistant",0)</f>
        <v>gouvernance</v>
      </c>
      <c r="M202" t="str">
        <f>_xlfn.XLOOKUP($B202,Num_Projet,Projets!D:D,"Inexistant",0)</f>
        <v>Industries Nova Tech</v>
      </c>
      <c r="N202" s="6">
        <f>_xlfn.XLOOKUP(E202,nom_commune,villes_clients!E:E)*2</f>
        <v>1832.8525093398346</v>
      </c>
      <c r="O202" s="5">
        <f>IF(F202="train",G202,_xlfn.XLOOKUP(B202,Num_Projet,Projets!G:G,0,0)*N202)</f>
        <v>21792.616336050633</v>
      </c>
      <c r="P202" s="5">
        <f>_xlfn.XLOOKUP(_xlfn.XLOOKUP(E202,nom_commune,villes_clients!D:D,0,0),Seuil_population,Nuitée,0,1) * J202</f>
        <v>600</v>
      </c>
      <c r="Q202" s="5">
        <f>_xlfn.XLOOKUP( _xlfn.CONCAT(A202,"-",_xlfn.XLOOKUP(A202,Matr,Consultants!E:E) ),Dernier_contrat,Contrats!D:D,0,0) * IF(J202&gt;0,J202,1)</f>
        <v>2124</v>
      </c>
      <c r="R202" s="44">
        <f t="shared" si="7"/>
        <v>24516.616336050633</v>
      </c>
      <c r="S202" s="6">
        <f>( IF(F202="train", CO2_Train, _xlfn.XLOOKUP(I202,Immat_voitures,voitures_declarees!L:L,0,0)) * N202 ) / 1000</f>
        <v>392.2304369987246</v>
      </c>
    </row>
    <row r="203" spans="1:19" x14ac:dyDescent="0.2">
      <c r="A203">
        <v>3137</v>
      </c>
      <c r="B203">
        <v>5674</v>
      </c>
      <c r="C203" s="3">
        <v>46494</v>
      </c>
      <c r="D203" s="3">
        <v>46501</v>
      </c>
      <c r="E203" t="s">
        <v>99</v>
      </c>
      <c r="F203" t="s">
        <v>78</v>
      </c>
      <c r="G203" s="5">
        <v>238.93</v>
      </c>
      <c r="H203" t="s">
        <v>79</v>
      </c>
      <c r="J203">
        <f t="shared" si="6"/>
        <v>5</v>
      </c>
      <c r="K203" t="str">
        <f>_xlfn.XLOOKUP($B203,Num_Projet,Projets!B:B,"Inexistant",0)</f>
        <v>SuiviConso</v>
      </c>
      <c r="L203" t="str">
        <f>_xlfn.XLOOKUP($B203,Num_Projet,Projets!C:C,"Inexistant",0)</f>
        <v>gouvernance</v>
      </c>
      <c r="M203" t="str">
        <f>_xlfn.XLOOKUP($B203,Num_Projet,Projets!D:D,"Inexistant",0)</f>
        <v>Banque Invest</v>
      </c>
      <c r="N203" s="6">
        <f>_xlfn.XLOOKUP(E203,nom_commune,villes_clients!E:E)*2</f>
        <v>401.30764654622021</v>
      </c>
      <c r="O203" s="5">
        <f>IF(F203="train",G203,_xlfn.XLOOKUP(B203,Num_Projet,Projets!G:G,0,0)*N203)</f>
        <v>238.93</v>
      </c>
      <c r="P203" s="5">
        <f>_xlfn.XLOOKUP(_xlfn.XLOOKUP(E203,nom_commune,villes_clients!D:D,0,0),Seuil_population,Nuitée,0,1) * J203</f>
        <v>250</v>
      </c>
      <c r="Q203" s="5">
        <f>_xlfn.XLOOKUP( _xlfn.CONCAT(A203,"-",_xlfn.XLOOKUP(A203,Matr,Consultants!E:E) ),Dernier_contrat,Contrats!D:D,0,0) * IF(J203&gt;0,J203,1)</f>
        <v>980</v>
      </c>
      <c r="R203" s="44">
        <f t="shared" si="7"/>
        <v>1468.93</v>
      </c>
      <c r="S203" s="6">
        <f>( IF(F203="train", CO2_Train, _xlfn.XLOOKUP(I203,Immat_voitures,voitures_declarees!L:L,0,0)) * N203 ) / 1000</f>
        <v>0.8026152930924404</v>
      </c>
    </row>
    <row r="204" spans="1:19" x14ac:dyDescent="0.2">
      <c r="A204">
        <v>3772</v>
      </c>
      <c r="B204">
        <v>6665</v>
      </c>
      <c r="C204" s="3">
        <v>46496</v>
      </c>
      <c r="D204" s="3">
        <v>46499</v>
      </c>
      <c r="E204" t="s">
        <v>155</v>
      </c>
      <c r="F204" t="s">
        <v>78</v>
      </c>
      <c r="G204" s="5">
        <v>273.37</v>
      </c>
      <c r="H204" t="s">
        <v>79</v>
      </c>
      <c r="J204">
        <f t="shared" si="6"/>
        <v>4</v>
      </c>
      <c r="K204" t="str">
        <f>_xlfn.XLOOKUP($B204,Num_Projet,Projets!B:B,"Inexistant",0)</f>
        <v>Orion</v>
      </c>
      <c r="L204" t="str">
        <f>_xlfn.XLOOKUP($B204,Num_Projet,Projets!C:C,"Inexistant",0)</f>
        <v>gouvernance</v>
      </c>
      <c r="M204" t="str">
        <f>_xlfn.XLOOKUP($B204,Num_Projet,Projets!D:D,"Inexistant",0)</f>
        <v>Industries Nova Tech</v>
      </c>
      <c r="N204" s="6">
        <f>_xlfn.XLOOKUP(E204,nom_commune,villes_clients!E:E)*2</f>
        <v>222.4714022436518</v>
      </c>
      <c r="O204" s="5">
        <f>IF(F204="train",G204,_xlfn.XLOOKUP(B204,Num_Projet,Projets!G:G,0,0)*N204)</f>
        <v>273.37</v>
      </c>
      <c r="P204" s="5">
        <f>_xlfn.XLOOKUP(_xlfn.XLOOKUP(E204,nom_commune,villes_clients!D:D,0,0),Seuil_population,Nuitée,0,1) * J204</f>
        <v>300</v>
      </c>
      <c r="Q204" s="5">
        <f>_xlfn.XLOOKUP( _xlfn.CONCAT(A204,"-",_xlfn.XLOOKUP(A204,Matr,Consultants!E:E) ),Dernier_contrat,Contrats!D:D,0,0) * IF(J204&gt;0,J204,1)</f>
        <v>820</v>
      </c>
      <c r="R204" s="44">
        <f t="shared" si="7"/>
        <v>1393.37</v>
      </c>
      <c r="S204" s="6">
        <f>( IF(F204="train", CO2_Train, _xlfn.XLOOKUP(I204,Immat_voitures,voitures_declarees!L:L,0,0)) * N204 ) / 1000</f>
        <v>0.44494280448730361</v>
      </c>
    </row>
    <row r="205" spans="1:19" x14ac:dyDescent="0.2">
      <c r="A205">
        <v>5959</v>
      </c>
      <c r="B205">
        <v>3394</v>
      </c>
      <c r="C205" s="3">
        <v>46497</v>
      </c>
      <c r="D205" s="3">
        <v>46507</v>
      </c>
      <c r="E205" t="s">
        <v>135</v>
      </c>
      <c r="F205" t="s">
        <v>82</v>
      </c>
      <c r="H205" t="s">
        <v>85</v>
      </c>
      <c r="I205" s="49" t="s">
        <v>90</v>
      </c>
      <c r="J205">
        <f t="shared" si="6"/>
        <v>9</v>
      </c>
      <c r="K205" t="str">
        <f>_xlfn.XLOOKUP($B205,Num_Projet,Projets!B:B,"Inexistant",0)</f>
        <v>NextGen</v>
      </c>
      <c r="L205" t="str">
        <f>_xlfn.XLOOKUP($B205,Num_Projet,Projets!C:C,"Inexistant",0)</f>
        <v>transformation digital</v>
      </c>
      <c r="M205" t="str">
        <f>_xlfn.XLOOKUP($B205,Num_Projet,Projets!D:D,"Inexistant",0)</f>
        <v>Cooperative Muvuca</v>
      </c>
      <c r="N205" s="6">
        <f>_xlfn.XLOOKUP(E205,nom_commune,villes_clients!E:E)*2</f>
        <v>800.05371112944306</v>
      </c>
      <c r="O205" s="5">
        <f>IF(F205="train",G205,_xlfn.XLOOKUP(B205,Num_Projet,Projets!G:G,0,0)*N205)</f>
        <v>6792.4560074889714</v>
      </c>
      <c r="P205" s="5">
        <f>_xlfn.XLOOKUP(_xlfn.XLOOKUP(E205,nom_commune,villes_clients!D:D,0,0),Seuil_population,Nuitée,0,1) * J205</f>
        <v>675</v>
      </c>
      <c r="Q205" s="5">
        <f>_xlfn.XLOOKUP( _xlfn.CONCAT(A205,"-",_xlfn.XLOOKUP(A205,Matr,Consultants!E:E) ),Dernier_contrat,Contrats!D:D,0,0) * IF(J205&gt;0,J205,1)</f>
        <v>1782</v>
      </c>
      <c r="R205" s="44">
        <f t="shared" si="7"/>
        <v>7382.5920056167288</v>
      </c>
      <c r="S205" s="6">
        <f>( IF(F205="train", CO2_Train, _xlfn.XLOOKUP(I205,Immat_voitures,voitures_declarees!L:L,0,0)) * N205 ) / 1000</f>
        <v>236.81589849431515</v>
      </c>
    </row>
    <row r="206" spans="1:19" x14ac:dyDescent="0.2">
      <c r="A206">
        <v>6423</v>
      </c>
      <c r="B206">
        <v>7717</v>
      </c>
      <c r="C206" s="3">
        <v>46498</v>
      </c>
      <c r="D206" s="3">
        <v>46505</v>
      </c>
      <c r="E206" t="s">
        <v>120</v>
      </c>
      <c r="F206" t="s">
        <v>82</v>
      </c>
      <c r="H206" t="s">
        <v>85</v>
      </c>
      <c r="I206" s="49" t="s">
        <v>86</v>
      </c>
      <c r="J206">
        <f t="shared" si="6"/>
        <v>6</v>
      </c>
      <c r="K206" t="str">
        <f>_xlfn.XLOOKUP($B206,Num_Projet,Projets!B:B,"Inexistant",0)</f>
        <v>Alpha</v>
      </c>
      <c r="L206" t="str">
        <f>_xlfn.XLOOKUP($B206,Num_Projet,Projets!C:C,"Inexistant",0)</f>
        <v>gouvernance</v>
      </c>
      <c r="M206" t="str">
        <f>_xlfn.XLOOKUP($B206,Num_Projet,Projets!D:D,"Inexistant",0)</f>
        <v>Industries Nova Tech</v>
      </c>
      <c r="N206" s="6">
        <f>_xlfn.XLOOKUP(E206,nom_commune,villes_clients!E:E)*2</f>
        <v>132.76893959226709</v>
      </c>
      <c r="O206" s="5">
        <f>IF(F206="train",G206,_xlfn.XLOOKUP(B206,Num_Projet,Projets!G:G,0,0)*N206)</f>
        <v>1117.9144713668888</v>
      </c>
      <c r="P206" s="5">
        <f>_xlfn.XLOOKUP(_xlfn.XLOOKUP(E206,nom_commune,villes_clients!D:D,0,0),Seuil_population,Nuitée,0,1) * J206</f>
        <v>300</v>
      </c>
      <c r="Q206" s="5">
        <f>_xlfn.XLOOKUP( _xlfn.CONCAT(A206,"-",_xlfn.XLOOKUP(A206,Matr,Consultants!E:E) ),Dernier_contrat,Contrats!D:D,0,0) * IF(J206&gt;0,J206,1)</f>
        <v>1254</v>
      </c>
      <c r="R206" s="44">
        <f t="shared" si="7"/>
        <v>2317.4358535251667</v>
      </c>
      <c r="S206" s="6">
        <f>( IF(F206="train", CO2_Train, _xlfn.XLOOKUP(I206,Immat_voitures,voitures_declarees!L:L,0,0)) * N206 ) / 1000</f>
        <v>31.466238683367301</v>
      </c>
    </row>
    <row r="207" spans="1:19" x14ac:dyDescent="0.2">
      <c r="A207">
        <v>3772</v>
      </c>
      <c r="B207">
        <v>9256</v>
      </c>
      <c r="C207" s="3">
        <v>46500</v>
      </c>
      <c r="D207" s="3">
        <v>46511</v>
      </c>
      <c r="E207" t="s">
        <v>99</v>
      </c>
      <c r="F207" t="s">
        <v>82</v>
      </c>
      <c r="H207" t="s">
        <v>79</v>
      </c>
      <c r="I207" s="49" t="s">
        <v>112</v>
      </c>
      <c r="J207">
        <f t="shared" si="6"/>
        <v>8</v>
      </c>
      <c r="K207" t="str">
        <f>_xlfn.XLOOKUP($B207,Num_Projet,Projets!B:B,"Inexistant",0)</f>
        <v>Log2030</v>
      </c>
      <c r="L207" t="str">
        <f>_xlfn.XLOOKUP($B207,Num_Projet,Projets!C:C,"Inexistant",0)</f>
        <v>gouvernance</v>
      </c>
      <c r="M207" t="str">
        <f>_xlfn.XLOOKUP($B207,Num_Projet,Projets!D:D,"Inexistant",0)</f>
        <v>Banque Invest</v>
      </c>
      <c r="N207" s="6">
        <f>_xlfn.XLOOKUP(E207,nom_commune,villes_clients!E:E)*2</f>
        <v>401.30764654622021</v>
      </c>
      <c r="O207" s="5">
        <f>IF(F207="train",G207,_xlfn.XLOOKUP(B207,Num_Projet,Projets!G:G,0,0)*N207)</f>
        <v>2648.6304672050533</v>
      </c>
      <c r="P207" s="5">
        <f>_xlfn.XLOOKUP(_xlfn.XLOOKUP(E207,nom_commune,villes_clients!D:D,0,0),Seuil_population,Nuitée,0,1) * J207</f>
        <v>400</v>
      </c>
      <c r="Q207" s="5">
        <f>_xlfn.XLOOKUP( _xlfn.CONCAT(A207,"-",_xlfn.XLOOKUP(A207,Matr,Consultants!E:E) ),Dernier_contrat,Contrats!D:D,0,0) * IF(J207&gt;0,J207,1)</f>
        <v>1640</v>
      </c>
      <c r="R207" s="44">
        <f t="shared" si="7"/>
        <v>4688.6304672050537</v>
      </c>
      <c r="S207" s="6">
        <f>( IF(F207="train", CO2_Train, _xlfn.XLOOKUP(I207,Immat_voitures,voitures_declarees!L:L,0,0)) * N207 ) / 1000</f>
        <v>41.334687594260679</v>
      </c>
    </row>
    <row r="208" spans="1:19" x14ac:dyDescent="0.2">
      <c r="A208">
        <v>4641</v>
      </c>
      <c r="B208">
        <v>4687</v>
      </c>
      <c r="C208" s="3">
        <v>46517</v>
      </c>
      <c r="D208" s="3">
        <v>46520</v>
      </c>
      <c r="E208" t="s">
        <v>127</v>
      </c>
      <c r="F208" t="s">
        <v>82</v>
      </c>
      <c r="H208" t="s">
        <v>85</v>
      </c>
      <c r="I208" s="49" t="s">
        <v>102</v>
      </c>
      <c r="J208">
        <f t="shared" si="6"/>
        <v>4</v>
      </c>
      <c r="K208" t="str">
        <f>_xlfn.XLOOKUP($B208,Num_Projet,Projets!B:B,"Inexistant",0)</f>
        <v>Mirage</v>
      </c>
      <c r="L208" t="str">
        <f>_xlfn.XLOOKUP($B208,Num_Projet,Projets!C:C,"Inexistant",0)</f>
        <v>cybersécurité</v>
      </c>
      <c r="M208" t="str">
        <f>_xlfn.XLOOKUP($B208,Num_Projet,Projets!D:D,"Inexistant",0)</f>
        <v>Banque Invest</v>
      </c>
      <c r="N208" s="6">
        <f>_xlfn.XLOOKUP(E208,nom_commune,villes_clients!E:E)*2</f>
        <v>28.398104953178237</v>
      </c>
      <c r="O208" s="5">
        <f>IF(F208="train",G208,_xlfn.XLOOKUP(B208,Num_Projet,Projets!G:G,0,0)*N208)</f>
        <v>240.81593000295146</v>
      </c>
      <c r="P208" s="5">
        <f>_xlfn.XLOOKUP(_xlfn.XLOOKUP(E208,nom_commune,villes_clients!D:D,0,0),Seuil_population,Nuitée,0,1) * J208</f>
        <v>200</v>
      </c>
      <c r="Q208" s="5">
        <f>_xlfn.XLOOKUP( _xlfn.CONCAT(A208,"-",_xlfn.XLOOKUP(A208,Matr,Consultants!E:E) ),Dernier_contrat,Contrats!D:D,0,0) * IF(J208&gt;0,J208,1)</f>
        <v>548</v>
      </c>
      <c r="R208" s="44">
        <f t="shared" si="7"/>
        <v>878.61194750221352</v>
      </c>
      <c r="S208" s="6">
        <f>( IF(F208="train", CO2_Train, _xlfn.XLOOKUP(I208,Immat_voitures,voitures_declarees!L:L,0,0)) * N208 ) / 1000</f>
        <v>5.8216115154015391</v>
      </c>
    </row>
    <row r="209" spans="1:19" x14ac:dyDescent="0.2">
      <c r="A209">
        <v>5211</v>
      </c>
      <c r="B209">
        <v>7717</v>
      </c>
      <c r="C209" s="3">
        <v>46522</v>
      </c>
      <c r="D209" s="3">
        <v>46525</v>
      </c>
      <c r="E209" t="s">
        <v>158</v>
      </c>
      <c r="F209" t="s">
        <v>78</v>
      </c>
      <c r="G209" s="5">
        <v>304.06</v>
      </c>
      <c r="H209" t="s">
        <v>79</v>
      </c>
      <c r="J209">
        <f t="shared" si="6"/>
        <v>1</v>
      </c>
      <c r="K209" t="str">
        <f>_xlfn.XLOOKUP($B209,Num_Projet,Projets!B:B,"Inexistant",0)</f>
        <v>Alpha</v>
      </c>
      <c r="L209" t="str">
        <f>_xlfn.XLOOKUP($B209,Num_Projet,Projets!C:C,"Inexistant",0)</f>
        <v>gouvernance</v>
      </c>
      <c r="M209" t="str">
        <f>_xlfn.XLOOKUP($B209,Num_Projet,Projets!D:D,"Inexistant",0)</f>
        <v>Industries Nova Tech</v>
      </c>
      <c r="N209" s="6">
        <f>_xlfn.XLOOKUP(E209,nom_commune,villes_clients!E:E)*2</f>
        <v>1013.0939437165396</v>
      </c>
      <c r="O209" s="5">
        <f>IF(F209="train",G209,_xlfn.XLOOKUP(B209,Num_Projet,Projets!G:G,0,0)*N209)</f>
        <v>304.06</v>
      </c>
      <c r="P209" s="5">
        <f>_xlfn.XLOOKUP(_xlfn.XLOOKUP(E209,nom_commune,villes_clients!D:D,0,0),Seuil_population,Nuitée,0,1) * J209</f>
        <v>75</v>
      </c>
      <c r="Q209" s="5">
        <f>_xlfn.XLOOKUP( _xlfn.CONCAT(A209,"-",_xlfn.XLOOKUP(A209,Matr,Consultants!E:E) ),Dernier_contrat,Contrats!D:D,0,0) * IF(J209&gt;0,J209,1)</f>
        <v>177</v>
      </c>
      <c r="R209" s="44">
        <f t="shared" si="7"/>
        <v>556.05999999999995</v>
      </c>
      <c r="S209" s="6">
        <f>( IF(F209="train", CO2_Train, _xlfn.XLOOKUP(I209,Immat_voitures,voitures_declarees!L:L,0,0)) * N209 ) / 1000</f>
        <v>2.0261878874330792</v>
      </c>
    </row>
    <row r="210" spans="1:19" x14ac:dyDescent="0.2">
      <c r="A210">
        <v>4641</v>
      </c>
      <c r="B210">
        <v>3850</v>
      </c>
      <c r="C210" s="3">
        <v>46527</v>
      </c>
      <c r="D210" s="3">
        <v>46528</v>
      </c>
      <c r="E210" t="s">
        <v>174</v>
      </c>
      <c r="F210" t="s">
        <v>82</v>
      </c>
      <c r="H210" t="s">
        <v>79</v>
      </c>
      <c r="I210" s="49" t="s">
        <v>92</v>
      </c>
      <c r="J210">
        <f t="shared" si="6"/>
        <v>2</v>
      </c>
      <c r="K210" t="str">
        <f>_xlfn.XLOOKUP($B210,Num_Projet,Projets!B:B,"Inexistant",0)</f>
        <v>Hercules</v>
      </c>
      <c r="L210" t="str">
        <f>_xlfn.XLOOKUP($B210,Num_Projet,Projets!C:C,"Inexistant",0)</f>
        <v>cybersécurité</v>
      </c>
      <c r="M210" t="str">
        <f>_xlfn.XLOOKUP($B210,Num_Projet,Projets!D:D,"Inexistant",0)</f>
        <v>Société AHT</v>
      </c>
      <c r="N210" s="6">
        <f>_xlfn.XLOOKUP(E210,nom_commune,villes_clients!E:E)*2</f>
        <v>13.696592603477637</v>
      </c>
      <c r="O210" s="5">
        <f>IF(F210="train",G210,_xlfn.XLOOKUP(B210,Num_Projet,Projets!G:G,0,0)*N210)</f>
        <v>161.89372457310566</v>
      </c>
      <c r="P210" s="5">
        <f>_xlfn.XLOOKUP(_xlfn.XLOOKUP(E210,nom_commune,villes_clients!D:D,0,0),Seuil_population,Nuitée,0,1) * J210</f>
        <v>150</v>
      </c>
      <c r="Q210" s="5">
        <f>_xlfn.XLOOKUP( _xlfn.CONCAT(A210,"-",_xlfn.XLOOKUP(A210,Matr,Consultants!E:E) ),Dernier_contrat,Contrats!D:D,0,0) * IF(J210&gt;0,J210,1)</f>
        <v>274</v>
      </c>
      <c r="R210" s="44">
        <f t="shared" si="7"/>
        <v>585.8937245731056</v>
      </c>
      <c r="S210" s="6">
        <f>( IF(F210="train", CO2_Train, _xlfn.XLOOKUP(I210,Immat_voitures,voitures_declarees!L:L,0,0)) * N210 ) / 1000</f>
        <v>2.1229718535390338</v>
      </c>
    </row>
    <row r="211" spans="1:19" x14ac:dyDescent="0.2">
      <c r="A211">
        <v>5959</v>
      </c>
      <c r="B211">
        <v>5674</v>
      </c>
      <c r="C211" s="3">
        <v>46534</v>
      </c>
      <c r="D211" s="3">
        <v>46542</v>
      </c>
      <c r="E211" t="s">
        <v>106</v>
      </c>
      <c r="F211" t="s">
        <v>82</v>
      </c>
      <c r="H211" t="s">
        <v>79</v>
      </c>
      <c r="I211" s="49" t="s">
        <v>86</v>
      </c>
      <c r="J211">
        <f t="shared" si="6"/>
        <v>7</v>
      </c>
      <c r="K211" t="str">
        <f>_xlfn.XLOOKUP($B211,Num_Projet,Projets!B:B,"Inexistant",0)</f>
        <v>SuiviConso</v>
      </c>
      <c r="L211" t="str">
        <f>_xlfn.XLOOKUP($B211,Num_Projet,Projets!C:C,"Inexistant",0)</f>
        <v>gouvernance</v>
      </c>
      <c r="M211" t="str">
        <f>_xlfn.XLOOKUP($B211,Num_Projet,Projets!D:D,"Inexistant",0)</f>
        <v>Banque Invest</v>
      </c>
      <c r="N211" s="6">
        <f>_xlfn.XLOOKUP(E211,nom_commune,villes_clients!E:E)*2</f>
        <v>13.088746396149698</v>
      </c>
      <c r="O211" s="5">
        <f>IF(F211="train",G211,_xlfn.XLOOKUP(B211,Num_Projet,Projets!G:G,0,0)*N211)</f>
        <v>150.78235848364451</v>
      </c>
      <c r="P211" s="5">
        <f>_xlfn.XLOOKUP(_xlfn.XLOOKUP(E211,nom_commune,villes_clients!D:D,0,0),Seuil_population,Nuitée,0,1) * J211</f>
        <v>350</v>
      </c>
      <c r="Q211" s="5">
        <f>_xlfn.XLOOKUP( _xlfn.CONCAT(A211,"-",_xlfn.XLOOKUP(A211,Matr,Consultants!E:E) ),Dernier_contrat,Contrats!D:D,0,0) * IF(J211&gt;0,J211,1)</f>
        <v>1386</v>
      </c>
      <c r="R211" s="44">
        <f t="shared" si="7"/>
        <v>1886.7823584836447</v>
      </c>
      <c r="S211" s="6">
        <f>( IF(F211="train", CO2_Train, _xlfn.XLOOKUP(I211,Immat_voitures,voitures_declarees!L:L,0,0)) * N211 ) / 1000</f>
        <v>3.1020328958874783</v>
      </c>
    </row>
    <row r="212" spans="1:19" x14ac:dyDescent="0.2">
      <c r="A212">
        <v>5211</v>
      </c>
      <c r="B212">
        <v>7371</v>
      </c>
      <c r="C212" s="3">
        <v>46534</v>
      </c>
      <c r="D212" s="3">
        <v>46547</v>
      </c>
      <c r="E212" t="s">
        <v>121</v>
      </c>
      <c r="F212" t="s">
        <v>82</v>
      </c>
      <c r="H212" t="s">
        <v>79</v>
      </c>
      <c r="I212" s="49" t="s">
        <v>83</v>
      </c>
      <c r="J212">
        <f t="shared" si="6"/>
        <v>10</v>
      </c>
      <c r="K212" t="str">
        <f>_xlfn.XLOOKUP($B212,Num_Projet,Projets!B:B,"Inexistant",0)</f>
        <v>Infra2</v>
      </c>
      <c r="L212" t="str">
        <f>_xlfn.XLOOKUP($B212,Num_Projet,Projets!C:C,"Inexistant",0)</f>
        <v>cybersécurité</v>
      </c>
      <c r="M212" t="str">
        <f>_xlfn.XLOOKUP($B212,Num_Projet,Projets!D:D,"Inexistant",0)</f>
        <v>Société AHT</v>
      </c>
      <c r="N212" s="6">
        <f>_xlfn.XLOOKUP(E212,nom_commune,villes_clients!E:E)*2</f>
        <v>350.04851397456957</v>
      </c>
      <c r="O212" s="5">
        <f>IF(F212="train",G212,_xlfn.XLOOKUP(B212,Num_Projet,Projets!G:G,0,0)*N212)</f>
        <v>3153.937110910872</v>
      </c>
      <c r="P212" s="5">
        <f>_xlfn.XLOOKUP(_xlfn.XLOOKUP(E212,nom_commune,villes_clients!D:D,0,0),Seuil_population,Nuitée,0,1) * J212</f>
        <v>1000</v>
      </c>
      <c r="Q212" s="5">
        <f>_xlfn.XLOOKUP( _xlfn.CONCAT(A212,"-",_xlfn.XLOOKUP(A212,Matr,Consultants!E:E) ),Dernier_contrat,Contrats!D:D,0,0) * IF(J212&gt;0,J212,1)</f>
        <v>1770</v>
      </c>
      <c r="R212" s="44">
        <f t="shared" si="7"/>
        <v>5923.9371109108724</v>
      </c>
      <c r="S212" s="6">
        <f>( IF(F212="train", CO2_Train, _xlfn.XLOOKUP(I212,Immat_voitures,voitures_declarees!L:L,0,0)) * N212 ) / 1000</f>
        <v>62.658684001447952</v>
      </c>
    </row>
    <row r="213" spans="1:19" x14ac:dyDescent="0.2">
      <c r="A213">
        <v>5211</v>
      </c>
      <c r="B213">
        <v>1309</v>
      </c>
      <c r="C213" s="3">
        <v>46557</v>
      </c>
      <c r="D213" s="3">
        <v>46561</v>
      </c>
      <c r="E213" t="s">
        <v>159</v>
      </c>
      <c r="F213" t="s">
        <v>78</v>
      </c>
      <c r="G213" s="5">
        <v>100.92</v>
      </c>
      <c r="H213" t="s">
        <v>85</v>
      </c>
      <c r="J213">
        <f t="shared" si="6"/>
        <v>3</v>
      </c>
      <c r="K213" t="str">
        <f>_xlfn.XLOOKUP($B213,Num_Projet,Projets!B:B,"Inexistant",0)</f>
        <v>Arc25</v>
      </c>
      <c r="L213" t="str">
        <f>_xlfn.XLOOKUP($B213,Num_Projet,Projets!C:C,"Inexistant",0)</f>
        <v>intelligence artificielle</v>
      </c>
      <c r="M213" t="str">
        <f>_xlfn.XLOOKUP($B213,Num_Projet,Projets!D:D,"Inexistant",0)</f>
        <v>Banque Invest</v>
      </c>
      <c r="N213" s="6">
        <f>_xlfn.XLOOKUP(E213,nom_commune,villes_clients!E:E)*2</f>
        <v>1274.7395363740186</v>
      </c>
      <c r="O213" s="5">
        <f>IF(F213="train",G213,_xlfn.XLOOKUP(B213,Num_Projet,Projets!G:G,0,0)*N213)</f>
        <v>100.92</v>
      </c>
      <c r="P213" s="5">
        <f>_xlfn.XLOOKUP(_xlfn.XLOOKUP(E213,nom_commune,villes_clients!D:D,0,0),Seuil_population,Nuitée,0,1) * J213</f>
        <v>225</v>
      </c>
      <c r="Q213" s="5">
        <f>_xlfn.XLOOKUP( _xlfn.CONCAT(A213,"-",_xlfn.XLOOKUP(A213,Matr,Consultants!E:E) ),Dernier_contrat,Contrats!D:D,0,0) * IF(J213&gt;0,J213,1)</f>
        <v>531</v>
      </c>
      <c r="R213" s="44">
        <f t="shared" si="7"/>
        <v>775.44</v>
      </c>
      <c r="S213" s="6">
        <f>( IF(F213="train", CO2_Train, _xlfn.XLOOKUP(I213,Immat_voitures,voitures_declarees!L:L,0,0)) * N213 ) / 1000</f>
        <v>2.5494790727480372</v>
      </c>
    </row>
    <row r="214" spans="1:19" x14ac:dyDescent="0.2">
      <c r="A214">
        <v>5959</v>
      </c>
      <c r="B214">
        <v>2764</v>
      </c>
      <c r="C214" s="3">
        <v>46562</v>
      </c>
      <c r="D214" s="3">
        <v>46562</v>
      </c>
      <c r="E214" t="s">
        <v>136</v>
      </c>
      <c r="F214" t="s">
        <v>82</v>
      </c>
      <c r="H214" t="s">
        <v>85</v>
      </c>
      <c r="I214" s="49" t="s">
        <v>107</v>
      </c>
      <c r="J214">
        <f t="shared" si="6"/>
        <v>1</v>
      </c>
      <c r="K214" t="str">
        <f>_xlfn.XLOOKUP($B214,Num_Projet,Projets!B:B,"Inexistant",0)</f>
        <v>MARCO</v>
      </c>
      <c r="L214" t="str">
        <f>_xlfn.XLOOKUP($B214,Num_Projet,Projets!C:C,"Inexistant",0)</f>
        <v>transformation digital</v>
      </c>
      <c r="M214" t="str">
        <f>_xlfn.XLOOKUP($B214,Num_Projet,Projets!D:D,"Inexistant",0)</f>
        <v>Banque Invest</v>
      </c>
      <c r="N214" s="6">
        <f>_xlfn.XLOOKUP(E214,nom_commune,villes_clients!E:E)*2</f>
        <v>528.37078515457438</v>
      </c>
      <c r="O214" s="5">
        <f>IF(F214="train",G214,_xlfn.XLOOKUP(B214,Num_Projet,Projets!G:G,0,0)*N214)</f>
        <v>3714.4466196366579</v>
      </c>
      <c r="P214" s="5">
        <f>_xlfn.XLOOKUP(_xlfn.XLOOKUP(E214,nom_commune,villes_clients!D:D,0,0),Seuil_population,Nuitée,0,1) * J214</f>
        <v>100</v>
      </c>
      <c r="Q214" s="5">
        <f>_xlfn.XLOOKUP( _xlfn.CONCAT(A214,"-",_xlfn.XLOOKUP(A214,Matr,Consultants!E:E) ),Dernier_contrat,Contrats!D:D,0,0) * IF(J214&gt;0,J214,1)</f>
        <v>198</v>
      </c>
      <c r="R214" s="44">
        <f t="shared" si="7"/>
        <v>3058.8349647274936</v>
      </c>
      <c r="S214" s="6">
        <f>( IF(F214="train", CO2_Train, _xlfn.XLOOKUP(I214,Immat_voitures,voitures_declarees!L:L,0,0)) * N214 ) / 1000</f>
        <v>113.07134802307891</v>
      </c>
    </row>
  </sheetData>
  <sortState xmlns:xlrd2="http://schemas.microsoft.com/office/spreadsheetml/2017/richdata2" ref="A2:I214">
    <sortCondition ref="C2:C214"/>
  </sortState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17E73-DD35-9F4A-831F-EFE38B5D5F52}">
  <sheetPr>
    <tabColor theme="6"/>
  </sheetPr>
  <dimension ref="A1:E101"/>
  <sheetViews>
    <sheetView topLeftCell="A20" workbookViewId="0">
      <selection activeCell="D58" sqref="D58"/>
    </sheetView>
  </sheetViews>
  <sheetFormatPr baseColWidth="10" defaultRowHeight="15" x14ac:dyDescent="0.2"/>
  <cols>
    <col min="1" max="1" width="13" bestFit="1" customWidth="1"/>
    <col min="2" max="2" width="16.33203125" bestFit="1" customWidth="1"/>
    <col min="3" max="3" width="23.5" bestFit="1" customWidth="1"/>
    <col min="4" max="4" width="12.1640625" style="11" bestFit="1" customWidth="1"/>
    <col min="5" max="5" width="17.83203125" style="6" bestFit="1" customWidth="1"/>
  </cols>
  <sheetData>
    <row r="1" spans="1:5" x14ac:dyDescent="0.2">
      <c r="A1" t="s">
        <v>209</v>
      </c>
      <c r="B1" t="s">
        <v>210</v>
      </c>
      <c r="C1" t="s">
        <v>211</v>
      </c>
      <c r="D1" s="11" t="s">
        <v>212</v>
      </c>
      <c r="E1" s="6" t="s">
        <v>213</v>
      </c>
    </row>
    <row r="2" spans="1:5" x14ac:dyDescent="0.2">
      <c r="A2">
        <v>75001</v>
      </c>
      <c r="B2" t="s">
        <v>214</v>
      </c>
      <c r="C2" t="s">
        <v>215</v>
      </c>
      <c r="D2" s="11">
        <v>2141000</v>
      </c>
      <c r="E2" s="6">
        <v>0</v>
      </c>
    </row>
    <row r="3" spans="1:5" x14ac:dyDescent="0.2">
      <c r="A3">
        <v>13001</v>
      </c>
      <c r="B3" t="s">
        <v>216</v>
      </c>
      <c r="C3" t="s">
        <v>138</v>
      </c>
      <c r="D3" s="11">
        <v>861635</v>
      </c>
      <c r="E3" s="6">
        <v>661.53606645357661</v>
      </c>
    </row>
    <row r="4" spans="1:5" x14ac:dyDescent="0.2">
      <c r="A4">
        <v>69002</v>
      </c>
      <c r="B4" t="s">
        <v>217</v>
      </c>
      <c r="C4" t="s">
        <v>218</v>
      </c>
      <c r="D4" s="11">
        <v>513275</v>
      </c>
      <c r="E4" s="6">
        <v>393.97794593860516</v>
      </c>
    </row>
    <row r="5" spans="1:5" x14ac:dyDescent="0.2">
      <c r="A5">
        <v>31300</v>
      </c>
      <c r="B5" t="s">
        <v>219</v>
      </c>
      <c r="C5" t="s">
        <v>161</v>
      </c>
      <c r="D5" s="11">
        <v>390301</v>
      </c>
      <c r="E5" s="6">
        <v>589.50647113821549</v>
      </c>
    </row>
    <row r="6" spans="1:5" x14ac:dyDescent="0.2">
      <c r="A6">
        <v>6200</v>
      </c>
      <c r="B6" t="s">
        <v>220</v>
      </c>
      <c r="C6" t="s">
        <v>164</v>
      </c>
      <c r="D6" s="11">
        <v>343123</v>
      </c>
      <c r="E6" s="6">
        <v>685.58586873932813</v>
      </c>
    </row>
    <row r="7" spans="1:5" x14ac:dyDescent="0.2">
      <c r="A7">
        <v>44000</v>
      </c>
      <c r="B7" t="s">
        <v>221</v>
      </c>
      <c r="C7" t="s">
        <v>115</v>
      </c>
      <c r="D7" s="11">
        <v>270343</v>
      </c>
      <c r="E7" s="6">
        <v>341.65367327351839</v>
      </c>
    </row>
    <row r="8" spans="1:5" x14ac:dyDescent="0.2">
      <c r="A8">
        <v>67100</v>
      </c>
      <c r="B8" t="s">
        <v>222</v>
      </c>
      <c r="C8" t="s">
        <v>151</v>
      </c>
      <c r="D8" s="11">
        <v>263941</v>
      </c>
      <c r="E8" s="6">
        <v>400.88502920171447</v>
      </c>
    </row>
    <row r="9" spans="1:5" x14ac:dyDescent="0.2">
      <c r="A9">
        <v>34000</v>
      </c>
      <c r="B9" t="s">
        <v>223</v>
      </c>
      <c r="C9" t="s">
        <v>108</v>
      </c>
      <c r="D9" s="11">
        <v>225511</v>
      </c>
      <c r="E9" s="6">
        <v>595.29135460865086</v>
      </c>
    </row>
    <row r="10" spans="1:5" x14ac:dyDescent="0.2">
      <c r="A10">
        <v>33000</v>
      </c>
      <c r="B10" t="s">
        <v>224</v>
      </c>
      <c r="C10" t="s">
        <v>134</v>
      </c>
      <c r="D10" s="11">
        <v>215374</v>
      </c>
      <c r="E10" s="6">
        <v>497.40480035038217</v>
      </c>
    </row>
    <row r="11" spans="1:5" x14ac:dyDescent="0.2">
      <c r="A11">
        <v>59160</v>
      </c>
      <c r="B11" t="s">
        <v>225</v>
      </c>
      <c r="C11" t="s">
        <v>95</v>
      </c>
      <c r="D11" s="11">
        <v>212566</v>
      </c>
      <c r="E11" s="6">
        <v>203.33536326068372</v>
      </c>
    </row>
    <row r="12" spans="1:5" x14ac:dyDescent="0.2">
      <c r="A12">
        <v>35000</v>
      </c>
      <c r="B12" t="s">
        <v>226</v>
      </c>
      <c r="C12" t="s">
        <v>100</v>
      </c>
      <c r="D12" s="11">
        <v>206194</v>
      </c>
      <c r="E12" s="6">
        <v>308.48520147868931</v>
      </c>
    </row>
    <row r="13" spans="1:5" x14ac:dyDescent="0.2">
      <c r="A13">
        <v>76600</v>
      </c>
      <c r="B13" t="s">
        <v>227</v>
      </c>
      <c r="C13" t="s">
        <v>121</v>
      </c>
      <c r="D13" s="11">
        <v>190924</v>
      </c>
      <c r="E13" s="6">
        <v>175.02425698728479</v>
      </c>
    </row>
    <row r="14" spans="1:5" x14ac:dyDescent="0.2">
      <c r="A14">
        <v>51100</v>
      </c>
      <c r="B14" t="s">
        <v>228</v>
      </c>
      <c r="C14" t="s">
        <v>229</v>
      </c>
      <c r="D14" s="11">
        <v>187181</v>
      </c>
      <c r="E14" s="6">
        <v>131.82882709975405</v>
      </c>
    </row>
    <row r="15" spans="1:5" x14ac:dyDescent="0.2">
      <c r="A15">
        <v>42000</v>
      </c>
      <c r="B15" t="s">
        <v>230</v>
      </c>
      <c r="C15" t="s">
        <v>89</v>
      </c>
      <c r="D15" s="11">
        <v>180438</v>
      </c>
      <c r="E15" s="6">
        <v>411.82097536209045</v>
      </c>
    </row>
    <row r="16" spans="1:5" x14ac:dyDescent="0.2">
      <c r="A16">
        <v>83100</v>
      </c>
      <c r="B16" t="s">
        <v>231</v>
      </c>
      <c r="C16" t="s">
        <v>232</v>
      </c>
      <c r="D16" s="11">
        <v>160712</v>
      </c>
      <c r="E16" s="6">
        <v>694.58812700065528</v>
      </c>
    </row>
    <row r="17" spans="1:5" x14ac:dyDescent="0.2">
      <c r="A17">
        <v>38100</v>
      </c>
      <c r="B17" t="s">
        <v>233</v>
      </c>
      <c r="C17" t="s">
        <v>234</v>
      </c>
      <c r="D17" s="11">
        <v>153426</v>
      </c>
      <c r="E17" s="6">
        <v>483.25136352936613</v>
      </c>
    </row>
    <row r="18" spans="1:5" x14ac:dyDescent="0.2">
      <c r="A18">
        <v>49100</v>
      </c>
      <c r="B18" t="s">
        <v>235</v>
      </c>
      <c r="C18" t="s">
        <v>166</v>
      </c>
      <c r="D18" s="11">
        <v>151322</v>
      </c>
      <c r="E18" s="6">
        <v>264.59909976001455</v>
      </c>
    </row>
    <row r="19" spans="1:5" x14ac:dyDescent="0.2">
      <c r="A19">
        <v>21000</v>
      </c>
      <c r="B19" t="s">
        <v>236</v>
      </c>
      <c r="C19" t="s">
        <v>136</v>
      </c>
      <c r="D19" s="11">
        <v>150138</v>
      </c>
      <c r="E19" s="6">
        <v>264.18539257728719</v>
      </c>
    </row>
    <row r="20" spans="1:5" x14ac:dyDescent="0.2">
      <c r="A20">
        <v>29200</v>
      </c>
      <c r="B20" t="s">
        <v>237</v>
      </c>
      <c r="C20" t="s">
        <v>158</v>
      </c>
      <c r="D20" s="11">
        <v>149649</v>
      </c>
      <c r="E20" s="6">
        <v>506.54697185826979</v>
      </c>
    </row>
    <row r="21" spans="1:5" x14ac:dyDescent="0.2">
      <c r="A21">
        <v>72000</v>
      </c>
      <c r="B21" t="s">
        <v>238</v>
      </c>
      <c r="C21" t="s">
        <v>169</v>
      </c>
      <c r="D21" s="11">
        <v>146064</v>
      </c>
      <c r="E21" s="6">
        <v>185.58164179386114</v>
      </c>
    </row>
    <row r="22" spans="1:5" x14ac:dyDescent="0.2">
      <c r="A22">
        <v>63000</v>
      </c>
      <c r="B22" t="s">
        <v>239</v>
      </c>
      <c r="C22" t="s">
        <v>150</v>
      </c>
      <c r="D22" s="11">
        <v>137154</v>
      </c>
      <c r="E22" s="6">
        <v>347.11931671007824</v>
      </c>
    </row>
    <row r="23" spans="1:5" x14ac:dyDescent="0.2">
      <c r="A23">
        <v>80080</v>
      </c>
      <c r="B23" t="s">
        <v>240</v>
      </c>
      <c r="C23" t="s">
        <v>98</v>
      </c>
      <c r="D23" s="11">
        <v>135449</v>
      </c>
      <c r="E23" s="6">
        <v>115.52801589104355</v>
      </c>
    </row>
    <row r="24" spans="1:5" x14ac:dyDescent="0.2">
      <c r="A24">
        <v>13290</v>
      </c>
      <c r="B24" t="s">
        <v>216</v>
      </c>
      <c r="C24" t="s">
        <v>159</v>
      </c>
      <c r="D24" s="11">
        <v>134324</v>
      </c>
      <c r="E24" s="6">
        <v>637.3697681870093</v>
      </c>
    </row>
    <row r="25" spans="1:5" x14ac:dyDescent="0.2">
      <c r="A25">
        <v>87000</v>
      </c>
      <c r="B25" t="s">
        <v>241</v>
      </c>
      <c r="C25" t="s">
        <v>242</v>
      </c>
      <c r="D25" s="11">
        <v>133924</v>
      </c>
      <c r="E25" s="6">
        <v>344.39727471655783</v>
      </c>
    </row>
    <row r="26" spans="1:5" x14ac:dyDescent="0.2">
      <c r="A26">
        <v>30900</v>
      </c>
      <c r="B26" t="s">
        <v>243</v>
      </c>
      <c r="C26" t="s">
        <v>179</v>
      </c>
      <c r="D26" s="11">
        <v>133406</v>
      </c>
      <c r="E26" s="6">
        <v>578.7939864129844</v>
      </c>
    </row>
    <row r="27" spans="1:5" x14ac:dyDescent="0.2">
      <c r="A27">
        <v>37000</v>
      </c>
      <c r="B27" t="s">
        <v>244</v>
      </c>
      <c r="C27" t="s">
        <v>177</v>
      </c>
      <c r="D27" s="11">
        <v>132677</v>
      </c>
      <c r="E27" s="6">
        <v>203.45292316233363</v>
      </c>
    </row>
    <row r="28" spans="1:5" x14ac:dyDescent="0.2">
      <c r="A28">
        <v>69100</v>
      </c>
      <c r="B28" t="s">
        <v>217</v>
      </c>
      <c r="C28" t="s">
        <v>173</v>
      </c>
      <c r="D28" s="11">
        <v>124152</v>
      </c>
      <c r="E28" s="6">
        <v>394.14213781009533</v>
      </c>
    </row>
    <row r="29" spans="1:5" x14ac:dyDescent="0.2">
      <c r="A29">
        <v>57050</v>
      </c>
      <c r="B29" t="s">
        <v>245</v>
      </c>
      <c r="C29" t="s">
        <v>171</v>
      </c>
      <c r="D29" s="11">
        <v>123704</v>
      </c>
      <c r="E29" s="6">
        <v>283.75438762233455</v>
      </c>
    </row>
    <row r="30" spans="1:5" x14ac:dyDescent="0.2">
      <c r="A30">
        <v>25000</v>
      </c>
      <c r="B30" t="s">
        <v>246</v>
      </c>
      <c r="C30" t="s">
        <v>144</v>
      </c>
      <c r="D30" s="11">
        <v>117691</v>
      </c>
      <c r="E30" s="6">
        <v>327.52968192758738</v>
      </c>
    </row>
    <row r="31" spans="1:5" x14ac:dyDescent="0.2">
      <c r="A31">
        <v>14000</v>
      </c>
      <c r="B31" t="s">
        <v>247</v>
      </c>
      <c r="C31" t="s">
        <v>80</v>
      </c>
      <c r="D31" s="11">
        <v>114007</v>
      </c>
      <c r="E31" s="6">
        <v>201.12096096588814</v>
      </c>
    </row>
    <row r="32" spans="1:5" x14ac:dyDescent="0.2">
      <c r="A32">
        <v>45100</v>
      </c>
      <c r="B32" t="s">
        <v>248</v>
      </c>
      <c r="C32" t="s">
        <v>176</v>
      </c>
      <c r="D32" s="11">
        <v>113089</v>
      </c>
      <c r="E32" s="6">
        <v>113.30746656541538</v>
      </c>
    </row>
    <row r="33" spans="1:5" x14ac:dyDescent="0.2">
      <c r="A33">
        <v>68100</v>
      </c>
      <c r="B33" t="s">
        <v>249</v>
      </c>
      <c r="C33" t="s">
        <v>152</v>
      </c>
      <c r="D33" s="11">
        <v>110141</v>
      </c>
      <c r="E33" s="6">
        <v>390.2011148539849</v>
      </c>
    </row>
    <row r="34" spans="1:5" x14ac:dyDescent="0.2">
      <c r="A34">
        <v>76000</v>
      </c>
      <c r="B34" t="s">
        <v>227</v>
      </c>
      <c r="C34" t="s">
        <v>155</v>
      </c>
      <c r="D34" s="11">
        <v>106560</v>
      </c>
      <c r="E34" s="6">
        <v>111.2357011218259</v>
      </c>
    </row>
    <row r="35" spans="1:5" x14ac:dyDescent="0.2">
      <c r="A35">
        <v>92100</v>
      </c>
      <c r="B35" t="s">
        <v>250</v>
      </c>
      <c r="C35" t="s">
        <v>81</v>
      </c>
      <c r="D35" s="11">
        <v>106316</v>
      </c>
      <c r="E35" s="6">
        <v>7.6964103603253706</v>
      </c>
    </row>
    <row r="36" spans="1:5" x14ac:dyDescent="0.2">
      <c r="A36">
        <v>66100</v>
      </c>
      <c r="B36" t="s">
        <v>251</v>
      </c>
      <c r="C36" t="s">
        <v>109</v>
      </c>
      <c r="D36" s="11">
        <v>105096</v>
      </c>
      <c r="E36" s="6">
        <v>686.72822468757397</v>
      </c>
    </row>
    <row r="37" spans="1:5" x14ac:dyDescent="0.2">
      <c r="A37">
        <v>54100</v>
      </c>
      <c r="B37" t="s">
        <v>252</v>
      </c>
      <c r="C37" t="s">
        <v>129</v>
      </c>
      <c r="D37" s="11">
        <v>103552</v>
      </c>
      <c r="E37" s="6">
        <v>282.82539339129386</v>
      </c>
    </row>
    <row r="38" spans="1:5" x14ac:dyDescent="0.2">
      <c r="A38">
        <v>59100</v>
      </c>
      <c r="B38" t="s">
        <v>225</v>
      </c>
      <c r="C38" t="s">
        <v>122</v>
      </c>
      <c r="D38" s="11">
        <v>96959</v>
      </c>
      <c r="E38" s="6">
        <v>211.97358185176518</v>
      </c>
    </row>
    <row r="39" spans="1:5" x14ac:dyDescent="0.2">
      <c r="A39">
        <v>95100</v>
      </c>
      <c r="B39" t="s">
        <v>253</v>
      </c>
      <c r="C39" t="s">
        <v>254</v>
      </c>
      <c r="D39" s="11">
        <v>93932</v>
      </c>
      <c r="E39" s="6">
        <v>12.067762240391742</v>
      </c>
    </row>
    <row r="40" spans="1:5" x14ac:dyDescent="0.2">
      <c r="A40">
        <v>59200</v>
      </c>
      <c r="B40" t="s">
        <v>225</v>
      </c>
      <c r="C40" t="s">
        <v>116</v>
      </c>
      <c r="D40" s="11">
        <v>93531</v>
      </c>
      <c r="E40" s="6">
        <v>215.48563892867426</v>
      </c>
    </row>
    <row r="41" spans="1:5" x14ac:dyDescent="0.2">
      <c r="A41">
        <v>93100</v>
      </c>
      <c r="B41" t="s">
        <v>255</v>
      </c>
      <c r="C41" t="s">
        <v>91</v>
      </c>
      <c r="D41" s="11">
        <v>90735</v>
      </c>
      <c r="E41" s="6">
        <v>8.2084174686975437</v>
      </c>
    </row>
    <row r="42" spans="1:5" x14ac:dyDescent="0.2">
      <c r="A42">
        <v>93200</v>
      </c>
      <c r="B42" t="s">
        <v>255</v>
      </c>
      <c r="C42" t="s">
        <v>156</v>
      </c>
      <c r="D42" s="11">
        <v>85994</v>
      </c>
      <c r="E42" s="6">
        <v>7.6314758737736552</v>
      </c>
    </row>
    <row r="43" spans="1:5" x14ac:dyDescent="0.2">
      <c r="A43">
        <v>84000</v>
      </c>
      <c r="B43" t="s">
        <v>256</v>
      </c>
      <c r="C43" t="s">
        <v>170</v>
      </c>
      <c r="D43" s="11">
        <v>85937</v>
      </c>
      <c r="E43" s="6">
        <v>580.51260640520047</v>
      </c>
    </row>
    <row r="44" spans="1:5" x14ac:dyDescent="0.2">
      <c r="A44">
        <v>78000</v>
      </c>
      <c r="B44" t="s">
        <v>257</v>
      </c>
      <c r="C44" t="s">
        <v>172</v>
      </c>
      <c r="D44" s="11">
        <v>85761</v>
      </c>
      <c r="E44" s="6">
        <v>17.369851030940623</v>
      </c>
    </row>
    <row r="45" spans="1:5" x14ac:dyDescent="0.2">
      <c r="A45">
        <v>92000</v>
      </c>
      <c r="B45" t="s">
        <v>250</v>
      </c>
      <c r="C45" t="s">
        <v>133</v>
      </c>
      <c r="D45" s="11">
        <v>84270</v>
      </c>
      <c r="E45" s="6">
        <v>10.206081484597751</v>
      </c>
    </row>
    <row r="46" spans="1:5" x14ac:dyDescent="0.2">
      <c r="A46">
        <v>86000</v>
      </c>
      <c r="B46" t="s">
        <v>258</v>
      </c>
      <c r="C46" t="s">
        <v>142</v>
      </c>
      <c r="D46" s="11">
        <v>83507</v>
      </c>
      <c r="E46" s="6">
        <v>293.53102421503036</v>
      </c>
    </row>
    <row r="47" spans="1:5" x14ac:dyDescent="0.2">
      <c r="A47">
        <v>94000</v>
      </c>
      <c r="B47" t="s">
        <v>259</v>
      </c>
      <c r="C47" t="s">
        <v>111</v>
      </c>
      <c r="D47" s="11">
        <v>81786</v>
      </c>
      <c r="E47" s="6">
        <v>12.3483403814563</v>
      </c>
    </row>
    <row r="48" spans="1:5" x14ac:dyDescent="0.2">
      <c r="A48">
        <v>93600</v>
      </c>
      <c r="B48" t="s">
        <v>255</v>
      </c>
      <c r="C48" t="s">
        <v>96</v>
      </c>
      <c r="D48" s="11">
        <v>80030</v>
      </c>
      <c r="E48" s="6">
        <v>14.768188902135261</v>
      </c>
    </row>
    <row r="49" spans="1:5" x14ac:dyDescent="0.2">
      <c r="A49">
        <v>94400</v>
      </c>
      <c r="B49" t="s">
        <v>259</v>
      </c>
      <c r="C49" t="s">
        <v>260</v>
      </c>
      <c r="D49" s="11">
        <v>78908</v>
      </c>
      <c r="E49" s="6">
        <v>9.2947175038699807</v>
      </c>
    </row>
    <row r="50" spans="1:5" x14ac:dyDescent="0.2">
      <c r="A50">
        <v>64000</v>
      </c>
      <c r="B50" t="s">
        <v>261</v>
      </c>
      <c r="C50" t="s">
        <v>125</v>
      </c>
      <c r="D50" s="11">
        <v>78800</v>
      </c>
      <c r="E50" s="6">
        <v>650.05760579658659</v>
      </c>
    </row>
    <row r="51" spans="1:5" x14ac:dyDescent="0.2">
      <c r="A51">
        <v>62100</v>
      </c>
      <c r="B51" t="s">
        <v>262</v>
      </c>
      <c r="C51" t="s">
        <v>163</v>
      </c>
      <c r="D51" s="11">
        <v>77317</v>
      </c>
      <c r="E51" s="6">
        <v>234.53897191520508</v>
      </c>
    </row>
    <row r="52" spans="1:5" x14ac:dyDescent="0.2">
      <c r="A52">
        <v>17000</v>
      </c>
      <c r="B52" t="s">
        <v>263</v>
      </c>
      <c r="C52" t="s">
        <v>135</v>
      </c>
      <c r="D52" s="11">
        <v>76711</v>
      </c>
      <c r="E52" s="6">
        <v>400.02685556472153</v>
      </c>
    </row>
    <row r="53" spans="1:5" x14ac:dyDescent="0.2">
      <c r="A53">
        <v>92700</v>
      </c>
      <c r="B53" t="s">
        <v>250</v>
      </c>
      <c r="C53" t="s">
        <v>105</v>
      </c>
      <c r="D53" s="11">
        <v>76690</v>
      </c>
      <c r="E53" s="6">
        <v>9.3523975726005961</v>
      </c>
    </row>
    <row r="54" spans="1:5" x14ac:dyDescent="0.2">
      <c r="A54">
        <v>92600</v>
      </c>
      <c r="B54" t="s">
        <v>250</v>
      </c>
      <c r="C54" t="s">
        <v>174</v>
      </c>
      <c r="D54" s="11">
        <v>75832</v>
      </c>
      <c r="E54" s="6">
        <v>6.8482963017388183</v>
      </c>
    </row>
    <row r="55" spans="1:5" x14ac:dyDescent="0.2">
      <c r="A55">
        <v>94500</v>
      </c>
      <c r="B55" t="s">
        <v>259</v>
      </c>
      <c r="C55" t="s">
        <v>127</v>
      </c>
      <c r="D55" s="11">
        <v>74232</v>
      </c>
      <c r="E55" s="6">
        <v>14.199052476589118</v>
      </c>
    </row>
    <row r="56" spans="1:5" x14ac:dyDescent="0.2">
      <c r="A56">
        <v>92500</v>
      </c>
      <c r="B56" t="s">
        <v>250</v>
      </c>
      <c r="C56" t="s">
        <v>117</v>
      </c>
      <c r="D56" s="11">
        <v>73599</v>
      </c>
      <c r="E56" s="6">
        <v>11.684840500635062</v>
      </c>
    </row>
    <row r="57" spans="1:5" x14ac:dyDescent="0.2">
      <c r="A57">
        <v>94100</v>
      </c>
      <c r="B57" t="s">
        <v>259</v>
      </c>
      <c r="C57" t="s">
        <v>124</v>
      </c>
      <c r="D57" s="11">
        <v>73071</v>
      </c>
      <c r="E57" s="6">
        <v>13.557313017034472</v>
      </c>
    </row>
    <row r="58" spans="1:5" x14ac:dyDescent="0.2">
      <c r="A58">
        <v>6160</v>
      </c>
      <c r="B58" t="s">
        <v>220</v>
      </c>
      <c r="C58" t="s">
        <v>77</v>
      </c>
      <c r="D58" s="11">
        <v>72454</v>
      </c>
      <c r="E58" s="6">
        <v>691.95393567495569</v>
      </c>
    </row>
    <row r="59" spans="1:5" x14ac:dyDescent="0.2">
      <c r="A59">
        <v>18000</v>
      </c>
      <c r="B59" t="s">
        <v>264</v>
      </c>
      <c r="C59" t="s">
        <v>84</v>
      </c>
      <c r="D59" s="11">
        <v>72434</v>
      </c>
      <c r="E59" s="6">
        <v>198.8354545554879</v>
      </c>
    </row>
    <row r="60" spans="1:5" x14ac:dyDescent="0.2">
      <c r="A60">
        <v>59430</v>
      </c>
      <c r="B60" t="s">
        <v>225</v>
      </c>
      <c r="C60" t="s">
        <v>149</v>
      </c>
      <c r="D60" s="11">
        <v>70834</v>
      </c>
      <c r="E60" s="6">
        <v>241.15263067058089</v>
      </c>
    </row>
    <row r="61" spans="1:5" x14ac:dyDescent="0.2">
      <c r="A61">
        <v>92400</v>
      </c>
      <c r="B61" t="s">
        <v>250</v>
      </c>
      <c r="C61" t="s">
        <v>167</v>
      </c>
      <c r="D61" s="11">
        <v>69665</v>
      </c>
      <c r="E61" s="6">
        <v>7.1278136073024516</v>
      </c>
    </row>
    <row r="62" spans="1:5" x14ac:dyDescent="0.2">
      <c r="A62">
        <v>34500</v>
      </c>
      <c r="B62" t="s">
        <v>223</v>
      </c>
      <c r="C62" t="s">
        <v>140</v>
      </c>
      <c r="D62" s="11">
        <v>69359</v>
      </c>
      <c r="E62" s="6">
        <v>616.89131336362379</v>
      </c>
    </row>
    <row r="63" spans="1:5" x14ac:dyDescent="0.2">
      <c r="A63">
        <v>6400</v>
      </c>
      <c r="B63" t="s">
        <v>220</v>
      </c>
      <c r="C63" t="s">
        <v>146</v>
      </c>
      <c r="D63" s="11">
        <v>67406</v>
      </c>
      <c r="E63" s="6">
        <v>691.17207411911841</v>
      </c>
    </row>
    <row r="64" spans="1:5" x14ac:dyDescent="0.2">
      <c r="A64">
        <v>44600</v>
      </c>
      <c r="B64" t="s">
        <v>221</v>
      </c>
      <c r="C64" t="s">
        <v>104</v>
      </c>
      <c r="D64" s="11">
        <v>65868</v>
      </c>
      <c r="E64" s="6">
        <v>384.57006281010888</v>
      </c>
    </row>
    <row r="65" spans="1:5" x14ac:dyDescent="0.2">
      <c r="A65">
        <v>68000</v>
      </c>
      <c r="B65" t="s">
        <v>249</v>
      </c>
      <c r="C65" t="s">
        <v>128</v>
      </c>
      <c r="D65" s="11">
        <v>65118</v>
      </c>
      <c r="E65" s="6">
        <v>382.37627555905448</v>
      </c>
    </row>
    <row r="66" spans="1:5" x14ac:dyDescent="0.2">
      <c r="A66">
        <v>59493</v>
      </c>
      <c r="B66" t="s">
        <v>225</v>
      </c>
      <c r="C66" t="s">
        <v>110</v>
      </c>
      <c r="D66" s="11">
        <v>64997</v>
      </c>
      <c r="E66" s="6">
        <v>205.46440486359211</v>
      </c>
    </row>
    <row r="67" spans="1:5" x14ac:dyDescent="0.2">
      <c r="A67">
        <v>26000</v>
      </c>
      <c r="B67" t="s">
        <v>265</v>
      </c>
      <c r="C67" t="s">
        <v>113</v>
      </c>
      <c r="D67" s="11">
        <v>64222</v>
      </c>
      <c r="E67" s="6">
        <v>479.94343562467628</v>
      </c>
    </row>
    <row r="68" spans="1:5" x14ac:dyDescent="0.2">
      <c r="A68">
        <v>29000</v>
      </c>
      <c r="B68" t="s">
        <v>237</v>
      </c>
      <c r="C68" t="s">
        <v>139</v>
      </c>
      <c r="D68" s="11">
        <v>63274</v>
      </c>
      <c r="E68" s="6">
        <v>485.13017750260622</v>
      </c>
    </row>
    <row r="69" spans="1:5" x14ac:dyDescent="0.2">
      <c r="A69">
        <v>93300</v>
      </c>
      <c r="B69" t="s">
        <v>255</v>
      </c>
      <c r="C69" t="s">
        <v>106</v>
      </c>
      <c r="D69" s="11">
        <v>63130</v>
      </c>
      <c r="E69" s="6">
        <v>6.5443731980748492</v>
      </c>
    </row>
    <row r="70" spans="1:5" x14ac:dyDescent="0.2">
      <c r="A70">
        <v>93700</v>
      </c>
      <c r="B70" t="s">
        <v>255</v>
      </c>
      <c r="C70" t="s">
        <v>103</v>
      </c>
      <c r="D70" s="11">
        <v>62271</v>
      </c>
      <c r="E70" s="6">
        <v>10.448147844320731</v>
      </c>
    </row>
    <row r="71" spans="1:5" x14ac:dyDescent="0.2">
      <c r="A71">
        <v>33700</v>
      </c>
      <c r="B71" t="s">
        <v>224</v>
      </c>
      <c r="C71" t="s">
        <v>123</v>
      </c>
      <c r="D71" s="11">
        <v>61990</v>
      </c>
      <c r="E71" s="6">
        <v>503.61501969755636</v>
      </c>
    </row>
    <row r="72" spans="1:5" x14ac:dyDescent="0.2">
      <c r="A72">
        <v>10000</v>
      </c>
      <c r="B72" t="s">
        <v>266</v>
      </c>
      <c r="C72" t="s">
        <v>132</v>
      </c>
      <c r="D72" s="11">
        <v>60903</v>
      </c>
      <c r="E72" s="6">
        <v>143.10766811295673</v>
      </c>
    </row>
    <row r="73" spans="1:5" x14ac:dyDescent="0.2">
      <c r="A73">
        <v>83500</v>
      </c>
      <c r="B73" t="s">
        <v>231</v>
      </c>
      <c r="C73" t="s">
        <v>153</v>
      </c>
      <c r="D73" s="11">
        <v>60070</v>
      </c>
      <c r="E73" s="6">
        <v>697.65844557822027</v>
      </c>
    </row>
    <row r="74" spans="1:5" x14ac:dyDescent="0.2">
      <c r="A74">
        <v>92200</v>
      </c>
      <c r="B74" t="s">
        <v>250</v>
      </c>
      <c r="C74" t="s">
        <v>119</v>
      </c>
      <c r="D74" s="11">
        <v>59874</v>
      </c>
      <c r="E74" s="6">
        <v>5.7152269032865446</v>
      </c>
    </row>
    <row r="75" spans="1:5" x14ac:dyDescent="0.2">
      <c r="A75">
        <v>92160</v>
      </c>
      <c r="B75" t="s">
        <v>250</v>
      </c>
      <c r="C75" t="s">
        <v>126</v>
      </c>
      <c r="D75" s="11">
        <v>59849</v>
      </c>
      <c r="E75" s="6">
        <v>12.779057031119168</v>
      </c>
    </row>
    <row r="76" spans="1:5" x14ac:dyDescent="0.2">
      <c r="A76">
        <v>56100</v>
      </c>
      <c r="B76" t="s">
        <v>267</v>
      </c>
      <c r="C76" t="s">
        <v>162</v>
      </c>
      <c r="D76" s="11">
        <v>59224</v>
      </c>
      <c r="E76" s="6">
        <v>441.47648076584954</v>
      </c>
    </row>
    <row r="77" spans="1:5" x14ac:dyDescent="0.2">
      <c r="A77">
        <v>2100</v>
      </c>
      <c r="B77" t="s">
        <v>268</v>
      </c>
      <c r="C77" t="s">
        <v>87</v>
      </c>
      <c r="D77" s="11">
        <v>59049</v>
      </c>
      <c r="E77" s="6">
        <v>129.10524655476485</v>
      </c>
    </row>
    <row r="78" spans="1:5" x14ac:dyDescent="0.2">
      <c r="A78">
        <v>93160</v>
      </c>
      <c r="B78" t="s">
        <v>255</v>
      </c>
      <c r="C78" t="s">
        <v>101</v>
      </c>
      <c r="D78" s="11">
        <v>58193</v>
      </c>
      <c r="E78" s="6">
        <v>17.000321122066492</v>
      </c>
    </row>
    <row r="79" spans="1:5" x14ac:dyDescent="0.2">
      <c r="A79">
        <v>95200</v>
      </c>
      <c r="B79" t="s">
        <v>253</v>
      </c>
      <c r="C79" t="s">
        <v>148</v>
      </c>
      <c r="D79" s="11">
        <v>57851</v>
      </c>
      <c r="E79" s="6">
        <v>14.572851747864364</v>
      </c>
    </row>
    <row r="80" spans="1:5" x14ac:dyDescent="0.2">
      <c r="A80">
        <v>79000</v>
      </c>
      <c r="B80" t="s">
        <v>269</v>
      </c>
      <c r="C80" t="s">
        <v>270</v>
      </c>
      <c r="D80" s="11">
        <v>56661</v>
      </c>
      <c r="E80" s="6">
        <v>351.78999804631945</v>
      </c>
    </row>
    <row r="81" spans="1:5" x14ac:dyDescent="0.2">
      <c r="A81">
        <v>33600</v>
      </c>
      <c r="B81" t="s">
        <v>224</v>
      </c>
      <c r="C81" t="s">
        <v>93</v>
      </c>
      <c r="D81" s="11">
        <v>56151</v>
      </c>
      <c r="E81" s="6">
        <v>507.49280636091549</v>
      </c>
    </row>
    <row r="82" spans="1:5" x14ac:dyDescent="0.2">
      <c r="A82">
        <v>69200</v>
      </c>
      <c r="B82" t="s">
        <v>217</v>
      </c>
      <c r="C82" t="s">
        <v>165</v>
      </c>
      <c r="D82" s="11">
        <v>56014</v>
      </c>
      <c r="E82" s="6">
        <v>400.45204269292424</v>
      </c>
    </row>
    <row r="83" spans="1:5" x14ac:dyDescent="0.2">
      <c r="A83">
        <v>73000</v>
      </c>
      <c r="B83" t="s">
        <v>271</v>
      </c>
      <c r="C83" t="s">
        <v>143</v>
      </c>
      <c r="D83" s="11">
        <v>55762</v>
      </c>
      <c r="E83" s="6">
        <v>453.92452517987658</v>
      </c>
    </row>
    <row r="84" spans="1:5" x14ac:dyDescent="0.2">
      <c r="A84">
        <v>8000</v>
      </c>
      <c r="B84" t="s">
        <v>272</v>
      </c>
      <c r="C84" t="s">
        <v>99</v>
      </c>
      <c r="D84" s="11">
        <v>55481</v>
      </c>
      <c r="E84" s="6">
        <v>200.65382327311011</v>
      </c>
    </row>
    <row r="85" spans="1:5" x14ac:dyDescent="0.2">
      <c r="A85">
        <v>60000</v>
      </c>
      <c r="B85" t="s">
        <v>273</v>
      </c>
      <c r="C85" t="s">
        <v>120</v>
      </c>
      <c r="D85" s="11">
        <v>55371</v>
      </c>
      <c r="E85" s="6">
        <v>66.384469796133544</v>
      </c>
    </row>
    <row r="86" spans="1:5" x14ac:dyDescent="0.2">
      <c r="A86">
        <v>95800</v>
      </c>
      <c r="B86" t="s">
        <v>253</v>
      </c>
      <c r="C86" t="s">
        <v>154</v>
      </c>
      <c r="D86" s="11">
        <v>54816</v>
      </c>
      <c r="E86" s="6">
        <v>28.753288343537495</v>
      </c>
    </row>
    <row r="87" spans="1:5" x14ac:dyDescent="0.2">
      <c r="A87">
        <v>92300</v>
      </c>
      <c r="B87" t="s">
        <v>250</v>
      </c>
      <c r="C87" t="s">
        <v>175</v>
      </c>
      <c r="D87" s="11">
        <v>54750</v>
      </c>
      <c r="E87" s="6">
        <v>5.1137627131512708</v>
      </c>
    </row>
    <row r="88" spans="1:5" x14ac:dyDescent="0.2">
      <c r="A88">
        <v>49300</v>
      </c>
      <c r="B88" t="s">
        <v>235</v>
      </c>
      <c r="C88" t="s">
        <v>178</v>
      </c>
      <c r="D88" s="11">
        <v>54215</v>
      </c>
      <c r="E88" s="6">
        <v>313.73366680394321</v>
      </c>
    </row>
    <row r="89" spans="1:5" x14ac:dyDescent="0.2">
      <c r="A89">
        <v>20167</v>
      </c>
      <c r="B89" t="s">
        <v>274</v>
      </c>
      <c r="C89" t="s">
        <v>157</v>
      </c>
      <c r="D89" s="11">
        <v>52851</v>
      </c>
      <c r="E89" s="6">
        <v>916.42625466991728</v>
      </c>
    </row>
    <row r="90" spans="1:5" x14ac:dyDescent="0.2">
      <c r="A90">
        <v>92130</v>
      </c>
      <c r="B90" t="s">
        <v>250</v>
      </c>
      <c r="C90" t="s">
        <v>160</v>
      </c>
      <c r="D90" s="11">
        <v>52642</v>
      </c>
      <c r="E90" s="6">
        <v>6.836121648583763</v>
      </c>
    </row>
    <row r="91" spans="1:5" x14ac:dyDescent="0.2">
      <c r="A91">
        <v>82000</v>
      </c>
      <c r="B91" t="s">
        <v>275</v>
      </c>
      <c r="C91" t="s">
        <v>145</v>
      </c>
      <c r="D91" s="11">
        <v>51889</v>
      </c>
      <c r="E91" s="6">
        <v>543.20378248791098</v>
      </c>
    </row>
    <row r="92" spans="1:5" x14ac:dyDescent="0.2">
      <c r="A92">
        <v>56000</v>
      </c>
      <c r="B92" t="s">
        <v>267</v>
      </c>
      <c r="C92" t="s">
        <v>137</v>
      </c>
      <c r="D92" s="11">
        <v>51759</v>
      </c>
      <c r="E92" s="6">
        <v>401.03691955256932</v>
      </c>
    </row>
    <row r="93" spans="1:5" x14ac:dyDescent="0.2">
      <c r="A93">
        <v>83400</v>
      </c>
      <c r="B93" t="s">
        <v>231</v>
      </c>
      <c r="C93" t="s">
        <v>276</v>
      </c>
      <c r="D93" s="11">
        <v>51412</v>
      </c>
      <c r="E93" s="6">
        <v>706.25214950742838</v>
      </c>
    </row>
    <row r="94" spans="1:5" x14ac:dyDescent="0.2">
      <c r="A94">
        <v>27000</v>
      </c>
      <c r="B94" t="s">
        <v>277</v>
      </c>
      <c r="C94" t="s">
        <v>130</v>
      </c>
      <c r="D94" s="11">
        <v>51159</v>
      </c>
      <c r="E94" s="6">
        <v>89.252171403787131</v>
      </c>
    </row>
    <row r="95" spans="1:5" x14ac:dyDescent="0.2">
      <c r="A95">
        <v>94700</v>
      </c>
      <c r="B95" t="s">
        <v>259</v>
      </c>
      <c r="C95" t="s">
        <v>97</v>
      </c>
      <c r="D95" s="11">
        <v>51091</v>
      </c>
      <c r="E95" s="6">
        <v>9.7501078427911647</v>
      </c>
    </row>
    <row r="96" spans="1:5" x14ac:dyDescent="0.2">
      <c r="A96">
        <v>53000</v>
      </c>
      <c r="B96" t="s">
        <v>278</v>
      </c>
      <c r="C96" t="s">
        <v>141</v>
      </c>
      <c r="D96" s="11">
        <v>50956</v>
      </c>
      <c r="E96" s="6">
        <v>246.12757183850542</v>
      </c>
    </row>
    <row r="97" spans="1:5" x14ac:dyDescent="0.2">
      <c r="A97">
        <v>94200</v>
      </c>
      <c r="B97" t="s">
        <v>259</v>
      </c>
      <c r="C97" t="s">
        <v>279</v>
      </c>
      <c r="D97" s="11">
        <v>50951</v>
      </c>
      <c r="E97" s="6">
        <v>6.7071257215232949</v>
      </c>
    </row>
    <row r="98" spans="1:5" x14ac:dyDescent="0.2">
      <c r="A98">
        <v>94120</v>
      </c>
      <c r="B98" t="s">
        <v>259</v>
      </c>
      <c r="C98" t="s">
        <v>131</v>
      </c>
      <c r="D98" s="11">
        <v>50865</v>
      </c>
      <c r="E98" s="6">
        <v>10.182699963345929</v>
      </c>
    </row>
    <row r="99" spans="1:5" x14ac:dyDescent="0.2">
      <c r="A99">
        <v>35400</v>
      </c>
      <c r="B99" t="s">
        <v>226</v>
      </c>
      <c r="C99" t="s">
        <v>118</v>
      </c>
      <c r="D99" s="11">
        <v>50697</v>
      </c>
      <c r="E99" s="6">
        <v>318.36503641274351</v>
      </c>
    </row>
    <row r="100" spans="1:5" x14ac:dyDescent="0.2">
      <c r="A100">
        <v>13200</v>
      </c>
      <c r="B100" t="s">
        <v>216</v>
      </c>
      <c r="C100" t="s">
        <v>147</v>
      </c>
      <c r="D100" s="11">
        <v>50467</v>
      </c>
      <c r="E100" s="6">
        <v>617.45738659779397</v>
      </c>
    </row>
    <row r="101" spans="1:5" x14ac:dyDescent="0.2">
      <c r="A101">
        <v>90000</v>
      </c>
      <c r="B101" t="s">
        <v>280</v>
      </c>
      <c r="C101" t="s">
        <v>168</v>
      </c>
      <c r="D101" s="11">
        <v>50406</v>
      </c>
      <c r="E101" s="6">
        <v>361.01001902337629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FFC86-4AAA-6944-92CE-C2A4EEDF6220}">
  <sheetPr>
    <tabColor theme="6"/>
  </sheetPr>
  <dimension ref="A1:O11"/>
  <sheetViews>
    <sheetView topLeftCell="D1" workbookViewId="0">
      <selection activeCell="M2" sqref="M2"/>
    </sheetView>
  </sheetViews>
  <sheetFormatPr baseColWidth="10" defaultRowHeight="15" x14ac:dyDescent="0.2"/>
  <cols>
    <col min="1" max="1" width="11.83203125" hidden="1" customWidth="1"/>
    <col min="2" max="2" width="17.5" hidden="1" customWidth="1"/>
    <col min="3" max="3" width="13.6640625" hidden="1" customWidth="1"/>
    <col min="4" max="4" width="14" bestFit="1" customWidth="1"/>
    <col min="5" max="5" width="0" hidden="1" customWidth="1"/>
    <col min="6" max="6" width="13.5" hidden="1" customWidth="1"/>
    <col min="7" max="7" width="16" customWidth="1"/>
    <col min="8" max="8" width="14.5" bestFit="1" customWidth="1"/>
    <col min="9" max="9" width="16.1640625" bestFit="1" customWidth="1"/>
    <col min="10" max="10" width="8.83203125" bestFit="1" customWidth="1"/>
    <col min="11" max="11" width="12.5" customWidth="1"/>
    <col min="12" max="12" width="9.33203125" customWidth="1"/>
    <col min="13" max="13" width="13.33203125" customWidth="1"/>
    <col min="14" max="14" width="13" customWidth="1"/>
  </cols>
  <sheetData>
    <row r="1" spans="1:15" x14ac:dyDescent="0.2">
      <c r="A1" t="s">
        <v>302</v>
      </c>
      <c r="B1" t="s">
        <v>303</v>
      </c>
      <c r="C1" t="s">
        <v>304</v>
      </c>
      <c r="D1" t="s">
        <v>305</v>
      </c>
      <c r="E1" t="s">
        <v>306</v>
      </c>
      <c r="F1" t="s">
        <v>307</v>
      </c>
      <c r="G1" t="s">
        <v>308</v>
      </c>
      <c r="H1" t="s">
        <v>309</v>
      </c>
      <c r="I1" t="s">
        <v>310</v>
      </c>
      <c r="J1" t="s">
        <v>363</v>
      </c>
      <c r="K1" t="s">
        <v>377</v>
      </c>
      <c r="L1" t="s">
        <v>364</v>
      </c>
      <c r="M1" t="s">
        <v>378</v>
      </c>
    </row>
    <row r="2" spans="1:15" x14ac:dyDescent="0.2">
      <c r="A2" t="s">
        <v>311</v>
      </c>
      <c r="B2" t="s">
        <v>312</v>
      </c>
      <c r="C2" t="s">
        <v>313</v>
      </c>
      <c r="D2" t="s">
        <v>314</v>
      </c>
      <c r="E2" t="s">
        <v>365</v>
      </c>
      <c r="F2" t="s">
        <v>315</v>
      </c>
      <c r="G2" t="s">
        <v>366</v>
      </c>
      <c r="H2" t="s">
        <v>316</v>
      </c>
      <c r="I2" t="s">
        <v>317</v>
      </c>
      <c r="J2" s="47">
        <f t="shared" ref="J2:J11" si="0">_xlfn.NUMBERVALUE(D2, ".")</f>
        <v>2</v>
      </c>
      <c r="K2" s="47">
        <f t="shared" ref="K2:K11" si="1">_xlfn.NUMBERVALUE(G2, ".")</f>
        <v>9.3000000000000007</v>
      </c>
      <c r="L2">
        <f t="shared" ref="L2:L11" si="2">VALUE(SUBSTITUTE(H2," g/km",""))</f>
        <v>214</v>
      </c>
      <c r="M2" s="51" t="str">
        <f t="shared" ref="M2:M11" si="3">SUBSTITUTE(I2," ","-")</f>
        <v>TZ-811-YW</v>
      </c>
      <c r="O2" s="48"/>
    </row>
    <row r="3" spans="1:15" x14ac:dyDescent="0.2">
      <c r="A3" t="s">
        <v>318</v>
      </c>
      <c r="B3" t="s">
        <v>319</v>
      </c>
      <c r="C3" t="s">
        <v>320</v>
      </c>
      <c r="D3" t="s">
        <v>321</v>
      </c>
      <c r="E3" t="s">
        <v>365</v>
      </c>
      <c r="F3" t="s">
        <v>315</v>
      </c>
      <c r="G3" t="s">
        <v>367</v>
      </c>
      <c r="H3" t="s">
        <v>322</v>
      </c>
      <c r="I3" t="s">
        <v>323</v>
      </c>
      <c r="J3" s="47">
        <f t="shared" si="0"/>
        <v>1.6</v>
      </c>
      <c r="K3" s="47">
        <f t="shared" si="1"/>
        <v>7.8</v>
      </c>
      <c r="L3">
        <f t="shared" si="2"/>
        <v>179</v>
      </c>
      <c r="M3" s="51" t="str">
        <f t="shared" si="3"/>
        <v>881-PXG-62</v>
      </c>
    </row>
    <row r="4" spans="1:15" x14ac:dyDescent="0.2">
      <c r="A4" t="s">
        <v>324</v>
      </c>
      <c r="B4" t="s">
        <v>325</v>
      </c>
      <c r="C4" t="s">
        <v>326</v>
      </c>
      <c r="D4" t="s">
        <v>327</v>
      </c>
      <c r="E4" t="s">
        <v>365</v>
      </c>
      <c r="F4" t="s">
        <v>328</v>
      </c>
      <c r="G4" t="s">
        <v>368</v>
      </c>
      <c r="H4" t="s">
        <v>329</v>
      </c>
      <c r="I4" t="s">
        <v>330</v>
      </c>
      <c r="J4" s="47">
        <f t="shared" si="0"/>
        <v>1.8</v>
      </c>
      <c r="K4" s="47">
        <f t="shared" si="1"/>
        <v>4.8</v>
      </c>
      <c r="L4">
        <f t="shared" si="2"/>
        <v>110</v>
      </c>
      <c r="M4" s="51" t="str">
        <f t="shared" si="3"/>
        <v>588-AHF-83</v>
      </c>
    </row>
    <row r="5" spans="1:15" x14ac:dyDescent="0.2">
      <c r="A5" t="s">
        <v>324</v>
      </c>
      <c r="B5" t="s">
        <v>331</v>
      </c>
      <c r="C5" t="s">
        <v>332</v>
      </c>
      <c r="D5" t="s">
        <v>333</v>
      </c>
      <c r="E5" t="s">
        <v>365</v>
      </c>
      <c r="F5" t="s">
        <v>334</v>
      </c>
      <c r="G5" t="s">
        <v>369</v>
      </c>
      <c r="H5" t="s">
        <v>335</v>
      </c>
      <c r="I5" t="s">
        <v>336</v>
      </c>
      <c r="J5" s="47">
        <f t="shared" si="0"/>
        <v>1.5</v>
      </c>
      <c r="K5" s="47">
        <f t="shared" si="1"/>
        <v>7.1</v>
      </c>
      <c r="L5">
        <f t="shared" si="2"/>
        <v>163</v>
      </c>
      <c r="M5" s="51" t="str">
        <f t="shared" si="3"/>
        <v>QQ-716-IN</v>
      </c>
    </row>
    <row r="6" spans="1:15" x14ac:dyDescent="0.2">
      <c r="A6" t="s">
        <v>337</v>
      </c>
      <c r="B6" t="s">
        <v>338</v>
      </c>
      <c r="C6" t="s">
        <v>332</v>
      </c>
      <c r="D6" t="s">
        <v>314</v>
      </c>
      <c r="E6" t="s">
        <v>365</v>
      </c>
      <c r="F6" t="s">
        <v>315</v>
      </c>
      <c r="G6" t="s">
        <v>370</v>
      </c>
      <c r="H6" t="s">
        <v>339</v>
      </c>
      <c r="I6" t="s">
        <v>340</v>
      </c>
      <c r="J6" s="47">
        <f t="shared" si="0"/>
        <v>2</v>
      </c>
      <c r="K6" s="47">
        <f t="shared" si="1"/>
        <v>7.4</v>
      </c>
      <c r="L6">
        <f t="shared" si="2"/>
        <v>200</v>
      </c>
      <c r="M6" s="51" t="str">
        <f t="shared" si="3"/>
        <v>575-EXN-41</v>
      </c>
    </row>
    <row r="7" spans="1:15" x14ac:dyDescent="0.2">
      <c r="A7" t="s">
        <v>337</v>
      </c>
      <c r="B7" t="s">
        <v>341</v>
      </c>
      <c r="C7" t="s">
        <v>342</v>
      </c>
      <c r="D7" t="s">
        <v>343</v>
      </c>
      <c r="E7" t="s">
        <v>371</v>
      </c>
      <c r="F7" t="s">
        <v>344</v>
      </c>
      <c r="G7" t="s">
        <v>372</v>
      </c>
      <c r="H7" t="s">
        <v>345</v>
      </c>
      <c r="I7" t="s">
        <v>346</v>
      </c>
      <c r="J7" s="47">
        <f t="shared" si="0"/>
        <v>3.6</v>
      </c>
      <c r="K7" s="47">
        <f t="shared" si="1"/>
        <v>12.6</v>
      </c>
      <c r="L7">
        <f t="shared" si="2"/>
        <v>296</v>
      </c>
      <c r="M7" s="51" t="str">
        <f t="shared" si="3"/>
        <v>765-JSQ-81</v>
      </c>
    </row>
    <row r="8" spans="1:15" x14ac:dyDescent="0.2">
      <c r="A8" t="s">
        <v>347</v>
      </c>
      <c r="B8" t="s">
        <v>348</v>
      </c>
      <c r="C8" t="s">
        <v>326</v>
      </c>
      <c r="D8" t="s">
        <v>314</v>
      </c>
      <c r="E8" t="s">
        <v>365</v>
      </c>
      <c r="F8" t="s">
        <v>344</v>
      </c>
      <c r="G8" t="s">
        <v>373</v>
      </c>
      <c r="H8" t="s">
        <v>349</v>
      </c>
      <c r="I8" t="s">
        <v>350</v>
      </c>
      <c r="J8" s="47">
        <f t="shared" si="0"/>
        <v>2</v>
      </c>
      <c r="K8" s="47">
        <f t="shared" si="1"/>
        <v>10.3</v>
      </c>
      <c r="L8">
        <f t="shared" si="2"/>
        <v>237</v>
      </c>
      <c r="M8" s="51" t="str">
        <f t="shared" si="3"/>
        <v>542-YQB-50</v>
      </c>
    </row>
    <row r="9" spans="1:15" x14ac:dyDescent="0.2">
      <c r="A9" t="s">
        <v>347</v>
      </c>
      <c r="B9" t="s">
        <v>351</v>
      </c>
      <c r="C9" t="s">
        <v>313</v>
      </c>
      <c r="D9" t="s">
        <v>314</v>
      </c>
      <c r="E9" t="s">
        <v>365</v>
      </c>
      <c r="F9" t="s">
        <v>344</v>
      </c>
      <c r="G9" t="s">
        <v>374</v>
      </c>
      <c r="H9" t="s">
        <v>352</v>
      </c>
      <c r="I9" t="s">
        <v>353</v>
      </c>
      <c r="J9" s="47">
        <f t="shared" si="0"/>
        <v>2</v>
      </c>
      <c r="K9" s="47">
        <f t="shared" si="1"/>
        <v>8.9</v>
      </c>
      <c r="L9">
        <f t="shared" si="2"/>
        <v>205</v>
      </c>
      <c r="M9" s="51" t="str">
        <f t="shared" si="3"/>
        <v>417-IHX-79</v>
      </c>
    </row>
    <row r="10" spans="1:15" x14ac:dyDescent="0.2">
      <c r="A10" t="s">
        <v>311</v>
      </c>
      <c r="B10" t="s">
        <v>354</v>
      </c>
      <c r="C10" t="s">
        <v>355</v>
      </c>
      <c r="D10" t="s">
        <v>321</v>
      </c>
      <c r="E10" t="s">
        <v>365</v>
      </c>
      <c r="F10" t="s">
        <v>356</v>
      </c>
      <c r="G10" t="s">
        <v>375</v>
      </c>
      <c r="H10" t="s">
        <v>357</v>
      </c>
      <c r="I10" t="s">
        <v>358</v>
      </c>
      <c r="J10" s="47">
        <f t="shared" si="0"/>
        <v>1.6</v>
      </c>
      <c r="K10" s="47">
        <f t="shared" si="1"/>
        <v>4.4000000000000004</v>
      </c>
      <c r="L10">
        <f t="shared" si="2"/>
        <v>103</v>
      </c>
      <c r="M10" s="51" t="str">
        <f t="shared" si="3"/>
        <v>006-BJC-20</v>
      </c>
    </row>
    <row r="11" spans="1:15" x14ac:dyDescent="0.2">
      <c r="A11" t="s">
        <v>324</v>
      </c>
      <c r="B11" t="s">
        <v>359</v>
      </c>
      <c r="C11" t="s">
        <v>332</v>
      </c>
      <c r="D11" t="s">
        <v>333</v>
      </c>
      <c r="E11" t="s">
        <v>365</v>
      </c>
      <c r="F11" t="s">
        <v>360</v>
      </c>
      <c r="G11" t="s">
        <v>376</v>
      </c>
      <c r="H11" t="s">
        <v>361</v>
      </c>
      <c r="I11" t="s">
        <v>362</v>
      </c>
      <c r="J11" s="47">
        <f t="shared" si="0"/>
        <v>1.5</v>
      </c>
      <c r="K11" s="47">
        <f t="shared" si="1"/>
        <v>6.6</v>
      </c>
      <c r="L11">
        <f t="shared" si="2"/>
        <v>155</v>
      </c>
      <c r="M11" s="51" t="str">
        <f t="shared" si="3"/>
        <v>QF-109-TX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AC10F-7C49-E849-9AF7-AC2DB9D9A517}">
  <sheetPr>
    <tabColor theme="2" tint="-9.9978637043366805E-2"/>
  </sheetPr>
  <dimension ref="A1:F23"/>
  <sheetViews>
    <sheetView zoomScale="120" zoomScaleNormal="120" workbookViewId="0">
      <selection activeCell="J32" sqref="J32"/>
    </sheetView>
  </sheetViews>
  <sheetFormatPr baseColWidth="10" defaultRowHeight="15" x14ac:dyDescent="0.2"/>
  <cols>
    <col min="2" max="2" width="18.1640625" customWidth="1"/>
  </cols>
  <sheetData>
    <row r="1" spans="1:6" x14ac:dyDescent="0.2">
      <c r="A1" s="1" t="s">
        <v>191</v>
      </c>
      <c r="D1" s="1" t="s">
        <v>192</v>
      </c>
      <c r="E1">
        <v>2026</v>
      </c>
      <c r="F1">
        <v>2027</v>
      </c>
    </row>
    <row r="2" spans="1:6" x14ac:dyDescent="0.2">
      <c r="A2" s="3">
        <v>46023</v>
      </c>
      <c r="B2" t="s">
        <v>180</v>
      </c>
    </row>
    <row r="3" spans="1:6" x14ac:dyDescent="0.2">
      <c r="A3" s="3">
        <v>46118</v>
      </c>
      <c r="B3" t="s">
        <v>181</v>
      </c>
    </row>
    <row r="4" spans="1:6" x14ac:dyDescent="0.2">
      <c r="A4" s="3">
        <v>46143</v>
      </c>
      <c r="B4" t="s">
        <v>182</v>
      </c>
    </row>
    <row r="5" spans="1:6" x14ac:dyDescent="0.2">
      <c r="A5" s="3">
        <v>46150</v>
      </c>
      <c r="B5" t="s">
        <v>183</v>
      </c>
    </row>
    <row r="6" spans="1:6" x14ac:dyDescent="0.2">
      <c r="A6" s="3">
        <v>46156</v>
      </c>
      <c r="B6" t="s">
        <v>184</v>
      </c>
    </row>
    <row r="7" spans="1:6" x14ac:dyDescent="0.2">
      <c r="A7" s="3">
        <v>46167</v>
      </c>
      <c r="B7" t="s">
        <v>185</v>
      </c>
    </row>
    <row r="8" spans="1:6" x14ac:dyDescent="0.2">
      <c r="A8" s="3">
        <v>46217</v>
      </c>
      <c r="B8" t="s">
        <v>186</v>
      </c>
    </row>
    <row r="9" spans="1:6" x14ac:dyDescent="0.2">
      <c r="A9" s="3">
        <v>46249</v>
      </c>
      <c r="B9" t="s">
        <v>187</v>
      </c>
    </row>
    <row r="10" spans="1:6" x14ac:dyDescent="0.2">
      <c r="A10" s="3">
        <v>46327</v>
      </c>
      <c r="B10" t="s">
        <v>188</v>
      </c>
    </row>
    <row r="11" spans="1:6" x14ac:dyDescent="0.2">
      <c r="A11" s="3">
        <v>46337</v>
      </c>
      <c r="B11" t="s">
        <v>189</v>
      </c>
    </row>
    <row r="12" spans="1:6" x14ac:dyDescent="0.2">
      <c r="A12" s="3">
        <v>46381</v>
      </c>
      <c r="B12" t="s">
        <v>190</v>
      </c>
    </row>
    <row r="13" spans="1:6" x14ac:dyDescent="0.2">
      <c r="A13" s="3">
        <v>46388</v>
      </c>
      <c r="B13" t="s">
        <v>180</v>
      </c>
    </row>
    <row r="14" spans="1:6" x14ac:dyDescent="0.2">
      <c r="A14" s="3">
        <v>46475</v>
      </c>
      <c r="B14" t="s">
        <v>181</v>
      </c>
    </row>
    <row r="15" spans="1:6" x14ac:dyDescent="0.2">
      <c r="A15" s="3">
        <v>46508</v>
      </c>
      <c r="B15" t="s">
        <v>182</v>
      </c>
    </row>
    <row r="16" spans="1:6" x14ac:dyDescent="0.2">
      <c r="A16" s="3">
        <v>46515</v>
      </c>
      <c r="B16" t="s">
        <v>183</v>
      </c>
    </row>
    <row r="17" spans="1:2" x14ac:dyDescent="0.2">
      <c r="A17" s="3">
        <v>46513</v>
      </c>
      <c r="B17" t="s">
        <v>184</v>
      </c>
    </row>
    <row r="18" spans="1:2" x14ac:dyDescent="0.2">
      <c r="A18" s="3">
        <v>46524</v>
      </c>
      <c r="B18" t="s">
        <v>185</v>
      </c>
    </row>
    <row r="19" spans="1:2" x14ac:dyDescent="0.2">
      <c r="A19" s="3">
        <v>46582</v>
      </c>
      <c r="B19" t="s">
        <v>186</v>
      </c>
    </row>
    <row r="20" spans="1:2" x14ac:dyDescent="0.2">
      <c r="A20" s="3">
        <v>46614</v>
      </c>
      <c r="B20" t="s">
        <v>187</v>
      </c>
    </row>
    <row r="21" spans="1:2" x14ac:dyDescent="0.2">
      <c r="A21" s="3">
        <v>46692</v>
      </c>
      <c r="B21" t="s">
        <v>188</v>
      </c>
    </row>
    <row r="22" spans="1:2" x14ac:dyDescent="0.2">
      <c r="A22" s="3">
        <v>46702</v>
      </c>
      <c r="B22" t="s">
        <v>189</v>
      </c>
    </row>
    <row r="23" spans="1:2" x14ac:dyDescent="0.2">
      <c r="A23" s="3">
        <v>46746</v>
      </c>
      <c r="B23" t="s">
        <v>190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51C07-4DB3-CF4C-80F3-A53EBE2EF8C7}">
  <sheetPr>
    <tabColor theme="2" tint="-9.9978637043366805E-2"/>
  </sheetPr>
  <dimension ref="A1:G6"/>
  <sheetViews>
    <sheetView workbookViewId="0">
      <selection activeCell="E2" sqref="E2"/>
    </sheetView>
  </sheetViews>
  <sheetFormatPr baseColWidth="10" defaultRowHeight="15" x14ac:dyDescent="0.2"/>
  <cols>
    <col min="1" max="1" width="16.33203125" customWidth="1"/>
    <col min="2" max="2" width="13" customWidth="1"/>
    <col min="4" max="4" width="18.83203125" customWidth="1"/>
    <col min="5" max="5" width="21.6640625" customWidth="1"/>
  </cols>
  <sheetData>
    <row r="1" spans="1:7" ht="16" x14ac:dyDescent="0.2">
      <c r="A1" s="23" t="s">
        <v>293</v>
      </c>
      <c r="B1" s="23" t="s">
        <v>294</v>
      </c>
      <c r="C1" s="26"/>
      <c r="D1" s="31" t="s">
        <v>290</v>
      </c>
      <c r="E1" s="31" t="s">
        <v>301</v>
      </c>
      <c r="G1" s="30" t="s">
        <v>75</v>
      </c>
    </row>
    <row r="2" spans="1:7" ht="16" x14ac:dyDescent="0.2">
      <c r="A2" s="24">
        <v>75000</v>
      </c>
      <c r="B2" s="25">
        <v>50</v>
      </c>
      <c r="C2" s="27"/>
      <c r="D2" s="45" t="s">
        <v>78</v>
      </c>
      <c r="E2" s="32">
        <v>2</v>
      </c>
      <c r="G2" s="28" t="s">
        <v>79</v>
      </c>
    </row>
    <row r="3" spans="1:7" ht="16" x14ac:dyDescent="0.2">
      <c r="A3" s="24">
        <v>150000</v>
      </c>
      <c r="B3" s="25">
        <v>75</v>
      </c>
      <c r="C3" s="27"/>
      <c r="D3" s="46" t="s">
        <v>82</v>
      </c>
      <c r="E3" s="33"/>
      <c r="G3" s="29" t="s">
        <v>85</v>
      </c>
    </row>
    <row r="4" spans="1:7" x14ac:dyDescent="0.2">
      <c r="A4" s="24">
        <v>300000</v>
      </c>
      <c r="B4" s="25">
        <v>100</v>
      </c>
      <c r="C4" s="27"/>
    </row>
    <row r="5" spans="1:7" x14ac:dyDescent="0.2">
      <c r="A5" s="24">
        <v>500000</v>
      </c>
      <c r="B5" s="25">
        <v>150</v>
      </c>
      <c r="C5" s="27"/>
    </row>
    <row r="6" spans="1:7" x14ac:dyDescent="0.2">
      <c r="A6" s="24">
        <v>1000000</v>
      </c>
      <c r="B6" s="25">
        <v>200</v>
      </c>
      <c r="C6" s="2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0D22E-D80B-8145-AFC7-E818E8E163E6}">
  <sheetPr>
    <tabColor theme="9"/>
  </sheetPr>
  <dimension ref="A3:E10"/>
  <sheetViews>
    <sheetView workbookViewId="0">
      <selection activeCell="E4" sqref="E4"/>
    </sheetView>
  </sheetViews>
  <sheetFormatPr baseColWidth="10" defaultRowHeight="15" x14ac:dyDescent="0.2"/>
  <cols>
    <col min="1" max="1" width="18.83203125" bestFit="1" customWidth="1"/>
    <col min="2" max="2" width="12" bestFit="1" customWidth="1"/>
    <col min="3" max="3" width="12.5" bestFit="1" customWidth="1"/>
    <col min="4" max="4" width="8" bestFit="1" customWidth="1"/>
    <col min="5" max="5" width="15.33203125" bestFit="1" customWidth="1"/>
  </cols>
  <sheetData>
    <row r="3" spans="1:5" x14ac:dyDescent="0.2">
      <c r="A3" s="8" t="s">
        <v>198</v>
      </c>
      <c r="B3" t="s">
        <v>197</v>
      </c>
      <c r="C3" t="s">
        <v>196</v>
      </c>
      <c r="D3" t="s">
        <v>199</v>
      </c>
      <c r="E3" t="s">
        <v>204</v>
      </c>
    </row>
    <row r="4" spans="1:5" x14ac:dyDescent="0.2">
      <c r="A4" s="9" t="s">
        <v>25</v>
      </c>
      <c r="B4" s="6">
        <v>36.9</v>
      </c>
      <c r="C4">
        <v>10</v>
      </c>
      <c r="D4" s="10">
        <v>0.22222222222222221</v>
      </c>
      <c r="E4">
        <v>97</v>
      </c>
    </row>
    <row r="5" spans="1:5" x14ac:dyDescent="0.2">
      <c r="A5" s="9" t="s">
        <v>29</v>
      </c>
      <c r="B5" s="6">
        <v>36</v>
      </c>
      <c r="C5">
        <v>9</v>
      </c>
      <c r="D5" s="10">
        <v>0.2</v>
      </c>
      <c r="E5">
        <v>324</v>
      </c>
    </row>
    <row r="6" spans="1:5" x14ac:dyDescent="0.2">
      <c r="A6" s="9" t="s">
        <v>28</v>
      </c>
      <c r="B6" s="6">
        <v>42.363636363636367</v>
      </c>
      <c r="C6">
        <v>11</v>
      </c>
      <c r="D6" s="10">
        <v>0.24444444444444444</v>
      </c>
      <c r="E6">
        <v>31</v>
      </c>
    </row>
    <row r="7" spans="1:5" x14ac:dyDescent="0.2">
      <c r="A7" s="9" t="s">
        <v>27</v>
      </c>
      <c r="B7" s="6">
        <v>39.799999999999997</v>
      </c>
      <c r="C7">
        <v>5</v>
      </c>
      <c r="D7" s="10">
        <v>0.1111111111111111</v>
      </c>
      <c r="E7">
        <v>51</v>
      </c>
    </row>
    <row r="8" spans="1:5" x14ac:dyDescent="0.2">
      <c r="A8" s="9" t="s">
        <v>26</v>
      </c>
      <c r="B8" s="6">
        <v>37.222222222222221</v>
      </c>
      <c r="C8">
        <v>9</v>
      </c>
      <c r="D8" s="10">
        <v>0.2</v>
      </c>
      <c r="E8">
        <v>60</v>
      </c>
    </row>
    <row r="9" spans="1:5" x14ac:dyDescent="0.2">
      <c r="A9" s="9" t="s">
        <v>200</v>
      </c>
      <c r="B9" s="6">
        <v>27</v>
      </c>
      <c r="C9">
        <v>1</v>
      </c>
      <c r="D9" s="10">
        <v>2.2222222222222223E-2</v>
      </c>
      <c r="E9">
        <v>0</v>
      </c>
    </row>
    <row r="10" spans="1:5" x14ac:dyDescent="0.2">
      <c r="A10" s="9" t="s">
        <v>195</v>
      </c>
      <c r="B10" s="6">
        <v>38.222222222222221</v>
      </c>
      <c r="C10">
        <v>45</v>
      </c>
      <c r="D10" s="10">
        <v>1</v>
      </c>
      <c r="E10">
        <v>563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9C44E-A25A-0D41-B738-4BEFA4B7727E}">
  <sheetPr>
    <tabColor theme="9"/>
  </sheetPr>
  <dimension ref="A1:S34"/>
  <sheetViews>
    <sheetView workbookViewId="0">
      <selection activeCell="S24" sqref="S24"/>
    </sheetView>
  </sheetViews>
  <sheetFormatPr baseColWidth="10" defaultRowHeight="15" x14ac:dyDescent="0.2"/>
  <cols>
    <col min="1" max="1" width="18.83203125" bestFit="1" customWidth="1"/>
    <col min="2" max="2" width="19.5" customWidth="1"/>
    <col min="3" max="3" width="14.33203125" customWidth="1"/>
    <col min="4" max="4" width="19" bestFit="1" customWidth="1"/>
    <col min="5" max="5" width="19.33203125" bestFit="1" customWidth="1"/>
    <col min="6" max="6" width="18" bestFit="1" customWidth="1"/>
    <col min="7" max="7" width="12.5" customWidth="1"/>
    <col min="9" max="9" width="11.1640625" bestFit="1" customWidth="1"/>
    <col min="10" max="10" width="21" bestFit="1" customWidth="1"/>
    <col min="11" max="11" width="24.5" bestFit="1" customWidth="1"/>
    <col min="12" max="12" width="18.6640625" bestFit="1" customWidth="1"/>
  </cols>
  <sheetData>
    <row r="1" spans="1:19" x14ac:dyDescent="0.2">
      <c r="A1" s="54" t="s">
        <v>201</v>
      </c>
      <c r="B1" s="54" t="s">
        <v>202</v>
      </c>
      <c r="C1" s="54"/>
      <c r="D1" s="54" t="s">
        <v>40</v>
      </c>
      <c r="E1" s="54" t="s">
        <v>202</v>
      </c>
      <c r="F1" s="54"/>
      <c r="G1" s="54"/>
      <c r="H1" s="54"/>
      <c r="I1" s="54" t="s">
        <v>385</v>
      </c>
      <c r="J1" s="54" t="s">
        <v>382</v>
      </c>
      <c r="K1" s="54" t="s">
        <v>383</v>
      </c>
      <c r="L1" s="54" t="s">
        <v>384</v>
      </c>
      <c r="M1" s="54"/>
      <c r="N1" s="54"/>
      <c r="O1" s="54"/>
      <c r="P1" s="54"/>
      <c r="Q1" s="54"/>
      <c r="R1" s="54"/>
      <c r="S1" s="54"/>
    </row>
    <row r="2" spans="1:19" x14ac:dyDescent="0.2">
      <c r="A2" s="55" t="s">
        <v>60</v>
      </c>
      <c r="B2" s="56">
        <v>70</v>
      </c>
      <c r="C2" s="54"/>
      <c r="D2" s="55" t="s">
        <v>25</v>
      </c>
      <c r="E2" s="56">
        <v>37</v>
      </c>
      <c r="F2" s="54"/>
      <c r="G2" s="54"/>
      <c r="H2" s="54"/>
      <c r="I2" s="55" t="s">
        <v>64</v>
      </c>
      <c r="J2" s="57">
        <v>6654.3047711517193</v>
      </c>
      <c r="K2" s="57">
        <v>1850</v>
      </c>
      <c r="L2" s="57">
        <v>4577</v>
      </c>
      <c r="M2" s="54"/>
      <c r="N2" s="54"/>
      <c r="O2" s="54"/>
      <c r="P2" s="54"/>
      <c r="Q2" s="54"/>
      <c r="R2" s="54"/>
      <c r="S2" s="54"/>
    </row>
    <row r="3" spans="1:19" x14ac:dyDescent="0.2">
      <c r="A3" s="55" t="s">
        <v>57</v>
      </c>
      <c r="B3" s="56">
        <v>42</v>
      </c>
      <c r="C3" s="54"/>
      <c r="D3" s="55" t="s">
        <v>29</v>
      </c>
      <c r="E3" s="56">
        <v>106</v>
      </c>
      <c r="F3" s="54"/>
      <c r="G3" s="54"/>
      <c r="H3" s="54"/>
      <c r="I3" s="55" t="s">
        <v>55</v>
      </c>
      <c r="J3" s="57">
        <v>2215.7794954536985</v>
      </c>
      <c r="K3" s="57">
        <v>625</v>
      </c>
      <c r="L3" s="57">
        <v>1083</v>
      </c>
      <c r="M3" s="54"/>
      <c r="N3" s="54"/>
      <c r="O3" s="54"/>
      <c r="P3" s="54"/>
      <c r="Q3" s="54"/>
      <c r="R3" s="54"/>
      <c r="S3" s="54"/>
    </row>
    <row r="4" spans="1:19" x14ac:dyDescent="0.2">
      <c r="A4" s="55" t="s">
        <v>62</v>
      </c>
      <c r="B4" s="56">
        <v>9</v>
      </c>
      <c r="C4" s="54"/>
      <c r="D4" s="55" t="s">
        <v>28</v>
      </c>
      <c r="E4" s="56">
        <v>9</v>
      </c>
      <c r="F4" s="54"/>
      <c r="G4" s="54"/>
      <c r="H4" s="54"/>
      <c r="I4" s="55" t="s">
        <v>63</v>
      </c>
      <c r="J4" s="57">
        <v>10971.501638961043</v>
      </c>
      <c r="K4" s="57">
        <v>775</v>
      </c>
      <c r="L4" s="57">
        <v>2307</v>
      </c>
      <c r="M4" s="54"/>
      <c r="N4" s="54"/>
      <c r="O4" s="54"/>
      <c r="P4" s="54"/>
      <c r="Q4" s="54"/>
      <c r="R4" s="54"/>
      <c r="S4" s="54"/>
    </row>
    <row r="5" spans="1:19" x14ac:dyDescent="0.2">
      <c r="A5" s="55" t="s">
        <v>50</v>
      </c>
      <c r="B5" s="56">
        <v>44</v>
      </c>
      <c r="C5" s="54"/>
      <c r="D5" s="55" t="s">
        <v>27</v>
      </c>
      <c r="E5" s="56">
        <v>41</v>
      </c>
      <c r="F5" s="54"/>
      <c r="G5" s="54"/>
      <c r="H5" s="54"/>
      <c r="I5" s="55" t="s">
        <v>59</v>
      </c>
      <c r="J5" s="57">
        <v>5128.8134393165283</v>
      </c>
      <c r="K5" s="57">
        <v>425</v>
      </c>
      <c r="L5" s="57">
        <v>737</v>
      </c>
      <c r="M5" s="54"/>
      <c r="N5" s="54"/>
      <c r="O5" s="54"/>
      <c r="P5" s="54"/>
      <c r="Q5" s="54"/>
      <c r="R5" s="54"/>
      <c r="S5" s="54"/>
    </row>
    <row r="6" spans="1:19" x14ac:dyDescent="0.2">
      <c r="A6" s="55" t="s">
        <v>52</v>
      </c>
      <c r="B6" s="56">
        <v>48</v>
      </c>
      <c r="C6" s="54"/>
      <c r="D6" s="55" t="s">
        <v>26</v>
      </c>
      <c r="E6" s="56">
        <v>20</v>
      </c>
      <c r="F6" s="54"/>
      <c r="G6" s="54"/>
      <c r="H6" s="54"/>
      <c r="I6" s="55" t="s">
        <v>65</v>
      </c>
      <c r="J6" s="57">
        <v>459.27632260792541</v>
      </c>
      <c r="K6" s="57">
        <v>1200</v>
      </c>
      <c r="L6" s="57">
        <v>1984</v>
      </c>
      <c r="M6" s="54"/>
      <c r="N6" s="54"/>
      <c r="O6" s="54"/>
      <c r="P6" s="54"/>
      <c r="Q6" s="54"/>
      <c r="R6" s="54"/>
      <c r="S6" s="54"/>
    </row>
    <row r="7" spans="1:19" x14ac:dyDescent="0.2">
      <c r="A7" s="55" t="s">
        <v>195</v>
      </c>
      <c r="B7" s="56">
        <v>213</v>
      </c>
      <c r="C7" s="54"/>
      <c r="D7" s="55" t="s">
        <v>195</v>
      </c>
      <c r="E7" s="56">
        <v>213</v>
      </c>
      <c r="F7" s="54"/>
      <c r="G7" s="54"/>
      <c r="H7" s="54"/>
      <c r="I7" s="55" t="s">
        <v>61</v>
      </c>
      <c r="J7" s="57">
        <v>6630.0041894890719</v>
      </c>
      <c r="K7" s="57">
        <v>1050</v>
      </c>
      <c r="L7" s="57">
        <v>2544</v>
      </c>
      <c r="M7" s="54"/>
      <c r="N7" s="54"/>
      <c r="O7" s="54"/>
      <c r="P7" s="54"/>
      <c r="Q7" s="54"/>
      <c r="R7" s="54"/>
      <c r="S7" s="54"/>
    </row>
    <row r="8" spans="1:19" x14ac:dyDescent="0.2">
      <c r="A8" s="54"/>
      <c r="B8" s="54"/>
      <c r="C8" s="54"/>
      <c r="D8" s="54"/>
      <c r="E8" s="54"/>
      <c r="F8" s="54"/>
      <c r="G8" s="54"/>
      <c r="H8" s="54"/>
      <c r="I8" s="55" t="s">
        <v>56</v>
      </c>
      <c r="J8" s="57">
        <v>6311.294217965069</v>
      </c>
      <c r="K8" s="57">
        <v>3275</v>
      </c>
      <c r="L8" s="57">
        <v>8542</v>
      </c>
      <c r="M8" s="54"/>
      <c r="N8" s="54"/>
      <c r="O8" s="54"/>
      <c r="P8" s="54"/>
      <c r="Q8" s="54"/>
      <c r="R8" s="54"/>
      <c r="S8" s="54"/>
    </row>
    <row r="9" spans="1:19" x14ac:dyDescent="0.2">
      <c r="A9" s="54"/>
      <c r="B9" s="54"/>
      <c r="C9" s="54"/>
      <c r="D9" s="54"/>
      <c r="E9" s="54"/>
      <c r="F9" s="54"/>
      <c r="G9" s="54"/>
      <c r="H9" s="54"/>
      <c r="I9" s="55" t="s">
        <v>58</v>
      </c>
      <c r="J9" s="57">
        <v>10829.912841959112</v>
      </c>
      <c r="K9" s="57">
        <v>3975</v>
      </c>
      <c r="L9" s="57">
        <v>8587</v>
      </c>
      <c r="M9" s="54"/>
      <c r="N9" s="54"/>
      <c r="O9" s="54"/>
      <c r="P9" s="54"/>
      <c r="Q9" s="54"/>
      <c r="R9" s="54"/>
      <c r="S9" s="54"/>
    </row>
    <row r="10" spans="1:19" x14ac:dyDescent="0.2">
      <c r="A10" s="54"/>
      <c r="B10" s="54"/>
      <c r="C10" s="54"/>
      <c r="D10" s="54"/>
      <c r="E10" s="54"/>
      <c r="F10" s="54"/>
      <c r="G10" s="54"/>
      <c r="H10" s="54"/>
      <c r="I10" s="55" t="s">
        <v>51</v>
      </c>
      <c r="J10" s="57">
        <v>271.47000000000003</v>
      </c>
      <c r="K10" s="57">
        <v>200</v>
      </c>
      <c r="L10" s="57">
        <v>416</v>
      </c>
      <c r="M10" s="54"/>
      <c r="N10" s="54"/>
      <c r="O10" s="54"/>
      <c r="P10" s="54"/>
      <c r="Q10" s="54"/>
      <c r="R10" s="54"/>
      <c r="S10" s="54"/>
    </row>
    <row r="11" spans="1:19" x14ac:dyDescent="0.2">
      <c r="A11" s="54"/>
      <c r="B11" s="54"/>
      <c r="C11" s="54"/>
      <c r="D11" s="54"/>
      <c r="E11" s="54"/>
      <c r="F11" s="54"/>
      <c r="G11" s="54"/>
      <c r="H11" s="54"/>
      <c r="I11" s="55" t="s">
        <v>53</v>
      </c>
      <c r="J11" s="57">
        <v>215.14</v>
      </c>
      <c r="K11" s="57">
        <v>1350</v>
      </c>
      <c r="L11" s="57">
        <v>2487</v>
      </c>
      <c r="M11" s="54"/>
      <c r="N11" s="54"/>
      <c r="O11" s="54"/>
      <c r="P11" s="54"/>
      <c r="Q11" s="54"/>
      <c r="R11" s="54"/>
      <c r="S11" s="54"/>
    </row>
    <row r="12" spans="1:19" x14ac:dyDescent="0.2">
      <c r="A12" s="54"/>
      <c r="B12" s="54"/>
      <c r="C12" s="54"/>
      <c r="D12" s="54"/>
      <c r="E12" s="54"/>
      <c r="F12" s="54"/>
      <c r="G12" s="54"/>
      <c r="H12" s="54"/>
      <c r="I12" s="55" t="s">
        <v>69</v>
      </c>
      <c r="J12" s="57">
        <v>1942.6939034280722</v>
      </c>
      <c r="K12" s="57">
        <v>1975</v>
      </c>
      <c r="L12" s="57">
        <v>5258</v>
      </c>
      <c r="M12" s="54"/>
      <c r="N12" s="54"/>
      <c r="O12" s="54"/>
      <c r="P12" s="54"/>
      <c r="Q12" s="54"/>
      <c r="R12" s="54"/>
      <c r="S12" s="54"/>
    </row>
    <row r="13" spans="1:19" x14ac:dyDescent="0.2">
      <c r="A13" s="54"/>
      <c r="B13" s="54"/>
      <c r="C13" s="54"/>
      <c r="D13" s="54"/>
      <c r="E13" s="54"/>
      <c r="F13" s="54"/>
      <c r="G13" s="54"/>
      <c r="H13" s="54"/>
      <c r="I13" s="55" t="s">
        <v>68</v>
      </c>
      <c r="J13" s="57">
        <v>15749.146889682132</v>
      </c>
      <c r="K13" s="57">
        <v>1950</v>
      </c>
      <c r="L13" s="57">
        <v>2783</v>
      </c>
      <c r="M13" s="54"/>
      <c r="N13" s="54"/>
      <c r="O13" s="54"/>
      <c r="P13" s="54"/>
      <c r="Q13" s="54"/>
      <c r="R13" s="54"/>
      <c r="S13" s="54"/>
    </row>
    <row r="14" spans="1:19" x14ac:dyDescent="0.2">
      <c r="A14" s="54"/>
      <c r="B14" s="54"/>
      <c r="C14" s="54"/>
      <c r="D14" s="54"/>
      <c r="E14" s="54"/>
      <c r="F14" s="54"/>
      <c r="G14" s="54"/>
      <c r="H14" s="54"/>
      <c r="I14" s="55" t="s">
        <v>67</v>
      </c>
      <c r="J14" s="57">
        <v>26568.295646767332</v>
      </c>
      <c r="K14" s="57">
        <v>1675</v>
      </c>
      <c r="L14" s="57">
        <v>2158</v>
      </c>
      <c r="M14" s="54"/>
      <c r="N14" s="54"/>
      <c r="O14" s="54"/>
      <c r="P14" s="54"/>
      <c r="Q14" s="54"/>
      <c r="R14" s="54"/>
      <c r="S14" s="54"/>
    </row>
    <row r="15" spans="1:19" x14ac:dyDescent="0.2">
      <c r="A15" s="54" t="s">
        <v>202</v>
      </c>
      <c r="B15" s="54" t="s">
        <v>198</v>
      </c>
      <c r="C15" s="54"/>
      <c r="D15" s="54"/>
      <c r="E15" s="54"/>
      <c r="F15" s="54"/>
      <c r="G15" s="54"/>
      <c r="H15" s="54"/>
      <c r="I15" s="55" t="s">
        <v>54</v>
      </c>
      <c r="J15" s="57">
        <v>877.6345551967288</v>
      </c>
      <c r="K15" s="57">
        <v>1575</v>
      </c>
      <c r="L15" s="57">
        <v>3406</v>
      </c>
      <c r="M15" s="54"/>
      <c r="N15" s="54"/>
      <c r="O15" s="54"/>
      <c r="P15" s="54"/>
      <c r="Q15" s="54"/>
      <c r="R15" s="54"/>
      <c r="S15" s="54"/>
    </row>
    <row r="16" spans="1:19" x14ac:dyDescent="0.2">
      <c r="A16" s="54" t="s">
        <v>201</v>
      </c>
      <c r="B16" s="54" t="s">
        <v>25</v>
      </c>
      <c r="C16" s="54" t="s">
        <v>29</v>
      </c>
      <c r="D16" s="54" t="s">
        <v>28</v>
      </c>
      <c r="E16" s="54" t="s">
        <v>27</v>
      </c>
      <c r="F16" s="54" t="s">
        <v>26</v>
      </c>
      <c r="G16" s="54"/>
      <c r="H16" s="54"/>
      <c r="I16" s="55" t="s">
        <v>49</v>
      </c>
      <c r="J16" s="57">
        <v>1064.1875941064843</v>
      </c>
      <c r="K16" s="57">
        <v>1975</v>
      </c>
      <c r="L16" s="57">
        <v>5333</v>
      </c>
      <c r="M16" s="54"/>
      <c r="N16" s="54"/>
      <c r="O16" s="54"/>
      <c r="P16" s="54"/>
      <c r="Q16" s="54"/>
      <c r="R16" s="54"/>
      <c r="S16" s="54"/>
    </row>
    <row r="17" spans="1:19" x14ac:dyDescent="0.2">
      <c r="A17" s="55" t="s">
        <v>60</v>
      </c>
      <c r="B17" s="56">
        <v>15</v>
      </c>
      <c r="C17" s="56">
        <v>19</v>
      </c>
      <c r="D17" s="56">
        <v>9</v>
      </c>
      <c r="E17" s="56">
        <v>15</v>
      </c>
      <c r="F17" s="56">
        <v>12</v>
      </c>
      <c r="G17" s="54"/>
      <c r="H17" s="54"/>
      <c r="I17" s="55" t="s">
        <v>195</v>
      </c>
      <c r="J17" s="57">
        <v>95889.455506084909</v>
      </c>
      <c r="K17" s="57">
        <v>23875</v>
      </c>
      <c r="L17" s="57">
        <v>52202</v>
      </c>
      <c r="M17" s="54"/>
      <c r="N17" s="54"/>
      <c r="O17" s="54"/>
      <c r="P17" s="54"/>
      <c r="Q17" s="54"/>
      <c r="R17" s="54"/>
      <c r="S17" s="54"/>
    </row>
    <row r="18" spans="1:19" x14ac:dyDescent="0.2">
      <c r="A18" s="55" t="s">
        <v>57</v>
      </c>
      <c r="B18" s="56"/>
      <c r="C18" s="56">
        <v>34</v>
      </c>
      <c r="D18" s="56"/>
      <c r="E18" s="56"/>
      <c r="F18" s="56">
        <v>8</v>
      </c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</row>
    <row r="19" spans="1:19" x14ac:dyDescent="0.2">
      <c r="A19" s="55" t="s">
        <v>62</v>
      </c>
      <c r="B19" s="56"/>
      <c r="C19" s="56">
        <v>9</v>
      </c>
      <c r="D19" s="56"/>
      <c r="E19" s="56"/>
      <c r="F19" s="56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</row>
    <row r="20" spans="1:19" x14ac:dyDescent="0.2">
      <c r="A20" s="55" t="s">
        <v>50</v>
      </c>
      <c r="B20" s="56"/>
      <c r="C20" s="56">
        <v>44</v>
      </c>
      <c r="D20" s="56"/>
      <c r="E20" s="56"/>
      <c r="F20" s="56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</row>
    <row r="21" spans="1:19" x14ac:dyDescent="0.2">
      <c r="A21" s="55" t="s">
        <v>52</v>
      </c>
      <c r="B21" s="56">
        <v>22</v>
      </c>
      <c r="C21" s="56"/>
      <c r="D21" s="56"/>
      <c r="E21" s="56">
        <v>26</v>
      </c>
      <c r="F21" s="56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</row>
    <row r="22" spans="1:19" x14ac:dyDescent="0.2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</row>
    <row r="23" spans="1:19" x14ac:dyDescent="0.2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</row>
    <row r="24" spans="1:19" x14ac:dyDescent="0.2">
      <c r="A24" s="54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</row>
    <row r="25" spans="1:19" x14ac:dyDescent="0.2">
      <c r="A25" s="54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</row>
    <row r="26" spans="1:19" x14ac:dyDescent="0.2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</row>
    <row r="27" spans="1:19" x14ac:dyDescent="0.2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</row>
    <row r="28" spans="1:19" x14ac:dyDescent="0.2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</row>
    <row r="29" spans="1:19" x14ac:dyDescent="0.2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</row>
    <row r="30" spans="1:19" x14ac:dyDescent="0.2">
      <c r="A30" s="54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</row>
    <row r="31" spans="1:19" x14ac:dyDescent="0.2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</row>
    <row r="32" spans="1:19" x14ac:dyDescent="0.2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</row>
    <row r="33" spans="1:19" x14ac:dyDescent="0.2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</row>
    <row r="34" spans="1:19" x14ac:dyDescent="0.2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</row>
  </sheetData>
  <pageMargins left="0.7" right="0.7" top="0.75" bottom="0.75" header="0.3" footer="0.3"/>
  <drawing r:id="rId5"/>
  <extLst>
    <ext xmlns:x14="http://schemas.microsoft.com/office/spreadsheetml/2009/9/main" uri="{A8765BA9-456A-4dab-B4F3-ACF838C121DE}">
      <x14:slicerList>
        <x14:slicer r:id="rId6"/>
      </x14:slicerList>
    </ext>
    <ext xmlns:x15="http://schemas.microsoft.com/office/spreadsheetml/2010/11/main" uri="{7E03D99C-DC04-49d9-9315-930204A7B6E9}">
      <x15:timelineRefs>
        <x15:timelineRef r:id="rId7"/>
      </x15:timelineRef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1A8D6-925C-BD4F-9EDC-79CEDBDA67AD}">
  <sheetPr>
    <tabColor theme="7" tint="0.79998168889431442"/>
  </sheetPr>
  <dimension ref="B3:O18"/>
  <sheetViews>
    <sheetView workbookViewId="0">
      <selection activeCell="I15" sqref="I15"/>
    </sheetView>
  </sheetViews>
  <sheetFormatPr baseColWidth="10" defaultRowHeight="15" x14ac:dyDescent="0.2"/>
  <cols>
    <col min="1" max="1" width="8.33203125" customWidth="1"/>
    <col min="2" max="2" width="12.83203125" customWidth="1"/>
    <col min="3" max="3" width="13.6640625" bestFit="1" customWidth="1"/>
    <col min="8" max="8" width="15" customWidth="1"/>
    <col min="9" max="9" width="13" customWidth="1"/>
    <col min="11" max="11" width="13.6640625" bestFit="1" customWidth="1"/>
    <col min="14" max="14" width="17.6640625" customWidth="1"/>
    <col min="15" max="15" width="11.5" customWidth="1"/>
    <col min="17" max="17" width="13.6640625" bestFit="1" customWidth="1"/>
  </cols>
  <sheetData>
    <row r="3" spans="2:15" ht="16" x14ac:dyDescent="0.2">
      <c r="B3" s="17" t="s">
        <v>286</v>
      </c>
      <c r="K3" s="12" t="s">
        <v>288</v>
      </c>
    </row>
    <row r="5" spans="2:15" x14ac:dyDescent="0.2">
      <c r="B5" s="12" t="s">
        <v>284</v>
      </c>
      <c r="C5" s="13">
        <v>4751</v>
      </c>
      <c r="E5" s="12" t="s">
        <v>1</v>
      </c>
      <c r="F5" s="14" t="str">
        <f>IF(ISBLANK(C5),"",_xlfn.XLOOKUP(C5,Matr,Consultants!B:B,"",0))</f>
        <v>David Dupont</v>
      </c>
      <c r="G5" s="15"/>
      <c r="H5" s="15"/>
      <c r="I5" s="16"/>
      <c r="K5" s="12" t="s">
        <v>281</v>
      </c>
      <c r="L5" s="19">
        <f>_xlfn.XLOOKUP(C15,villes_clients!C:C,villes_clients!E:E,"",0)*2</f>
        <v>263.6576541995081</v>
      </c>
      <c r="N5" s="12" t="s">
        <v>289</v>
      </c>
      <c r="O5" s="20" cm="1">
        <f t="array" ref="O5">_xlfn.IFS(F15="train",I17,F15="voiture",_xlfn.XLOOKUP(C8,Num_Projet,Projets!G:G,0,0)*L5,TRUE,"")</f>
        <v>160</v>
      </c>
    </row>
    <row r="7" spans="2:15" x14ac:dyDescent="0.2">
      <c r="K7" s="12" t="s">
        <v>381</v>
      </c>
      <c r="L7" s="19">
        <f>NETWORKDAYS(C13,F13,Jours_Fériés)</f>
        <v>1</v>
      </c>
      <c r="N7" s="12" t="s">
        <v>380</v>
      </c>
      <c r="O7" s="20">
        <f>_xlfn.XLOOKUP(_xlfn.XLOOKUP(C15,nom_commune,villes_clients!D:D,0,0),Seuil_population,Nuitée,0,1) * L7</f>
        <v>100</v>
      </c>
    </row>
    <row r="8" spans="2:15" x14ac:dyDescent="0.2">
      <c r="B8" s="12" t="s">
        <v>285</v>
      </c>
      <c r="C8" s="13">
        <v>4687</v>
      </c>
      <c r="E8" s="12" t="s">
        <v>39</v>
      </c>
      <c r="F8" s="14" t="str">
        <f>IF(ISBLANK($C8),"",_xlfn.XLOOKUP($C8,Num_Projet,Projets!B:B,"",0))</f>
        <v>Mirage</v>
      </c>
      <c r="G8" s="15"/>
      <c r="H8" s="15"/>
      <c r="I8" s="16"/>
    </row>
    <row r="9" spans="2:15" x14ac:dyDescent="0.2">
      <c r="N9" s="12" t="s">
        <v>282</v>
      </c>
      <c r="O9" s="20">
        <f>_xlfn.XLOOKUP( _xlfn.CONCAT(C5,"-",_xlfn.XLOOKUP(C5,Matr,Consultants!E:E) ),Dernier_contrat,Contrats!D:D,0,0) * IF(L7&gt;0,L7,1)</f>
        <v>146</v>
      </c>
    </row>
    <row r="10" spans="2:15" x14ac:dyDescent="0.2">
      <c r="E10" s="12" t="s">
        <v>41</v>
      </c>
      <c r="F10" s="14" t="str">
        <f>IF(ISBLANK($C8),"",_xlfn.XLOOKUP($C8,Num_Projet,Projets!D:D,"",0))</f>
        <v>Banque Invest</v>
      </c>
      <c r="G10" s="15"/>
      <c r="H10" s="15"/>
      <c r="I10" s="16"/>
    </row>
    <row r="11" spans="2:15" x14ac:dyDescent="0.2">
      <c r="N11" s="12" t="s">
        <v>283</v>
      </c>
      <c r="O11" s="52">
        <f>O9 + (O5+O7) * IF(B18 = "Oui",1,0.75)</f>
        <v>341</v>
      </c>
    </row>
    <row r="13" spans="2:15" x14ac:dyDescent="0.2">
      <c r="B13" s="12" t="s">
        <v>71</v>
      </c>
      <c r="C13" s="18">
        <v>46266</v>
      </c>
      <c r="E13" s="12" t="s">
        <v>35</v>
      </c>
      <c r="F13" s="18">
        <v>46266</v>
      </c>
    </row>
    <row r="15" spans="2:15" x14ac:dyDescent="0.2">
      <c r="B15" s="12" t="s">
        <v>72</v>
      </c>
      <c r="C15" s="13" t="s">
        <v>229</v>
      </c>
      <c r="E15" s="12" t="s">
        <v>73</v>
      </c>
      <c r="F15" s="13" t="s">
        <v>78</v>
      </c>
      <c r="H15" s="12" t="s">
        <v>76</v>
      </c>
      <c r="I15" s="13"/>
    </row>
    <row r="17" spans="2:9" x14ac:dyDescent="0.2">
      <c r="B17" s="12" t="s">
        <v>287</v>
      </c>
      <c r="H17" s="12" t="s">
        <v>291</v>
      </c>
      <c r="I17" s="53">
        <v>160</v>
      </c>
    </row>
    <row r="18" spans="2:9" x14ac:dyDescent="0.2">
      <c r="B18" s="13" t="s">
        <v>85</v>
      </c>
    </row>
  </sheetData>
  <conditionalFormatting sqref="I15">
    <cfRule type="expression" dxfId="29" priority="2">
      <formula>AND($F$15="voiture",ISBLANK($I$15))</formula>
    </cfRule>
  </conditionalFormatting>
  <conditionalFormatting sqref="I17">
    <cfRule type="expression" dxfId="28" priority="1">
      <formula>AND($F$15="train",ISBLANK($I$17))</formula>
    </cfRule>
  </conditionalFormatting>
  <dataValidations count="5">
    <dataValidation type="date" operator="greaterThan" allowBlank="1" showInputMessage="1" showErrorMessage="1" sqref="C13" xr:uid="{84B7BA15-B55F-4743-8777-D04B76E10295}">
      <formula1>TODAY()</formula1>
    </dataValidation>
    <dataValidation type="date" operator="greaterThanOrEqual" allowBlank="1" showInputMessage="1" showErrorMessage="1" sqref="F13" xr:uid="{873DF044-91EA-D445-8694-1AF19C21395D}">
      <formula1>C13</formula1>
    </dataValidation>
    <dataValidation type="list" allowBlank="1" showInputMessage="1" showErrorMessage="1" sqref="F15" xr:uid="{2BD7E9B6-A836-5041-83F8-E93FDFE83E56}">
      <formula1>Moyens</formula1>
    </dataValidation>
    <dataValidation type="list" allowBlank="1" showInputMessage="1" showErrorMessage="1" sqref="B18" xr:uid="{685FB732-9546-E441-B5D8-14B27E3E5F05}">
      <formula1>Factures</formula1>
    </dataValidation>
    <dataValidation type="decimal" operator="greaterThan" allowBlank="1" showInputMessage="1" showErrorMessage="1" sqref="I17" xr:uid="{D722CE3B-C434-F74E-B914-9EA8FD2C46FD}">
      <formula1>0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8FA2C67E-3E8D-044D-ACAD-D83FD44B3DC7}">
          <x14:formula1>
            <xm:f>OFFSET(voitures_declarees!$M$1,1,0,COUNTA(Immat_voitures)-1,1)</xm:f>
          </x14:formula1>
          <xm:sqref>I15</xm:sqref>
        </x14:dataValidation>
        <x14:dataValidation type="list" allowBlank="1" showInputMessage="1" showErrorMessage="1" xr:uid="{C9D5E3E5-CA69-AE40-B4DC-333BC9BADB37}">
          <x14:formula1>
            <xm:f>OFFSET(Consultants!$A$1,1,0,COUNTA(Consultants!$A:$A)-1,1)</xm:f>
          </x14:formula1>
          <xm:sqref>C5</xm:sqref>
        </x14:dataValidation>
        <x14:dataValidation type="list" allowBlank="1" showInputMessage="1" showErrorMessage="1" xr:uid="{BB37D727-12DA-B44F-AECD-F8E8D03FDF6C}">
          <x14:formula1>
            <xm:f>OFFSET(Projets!$A$1,1,0,COUNTA(Num_Projet)-1,1)</xm:f>
          </x14:formula1>
          <xm:sqref>C8</xm:sqref>
        </x14:dataValidation>
        <x14:dataValidation type="list" allowBlank="1" showInputMessage="1" showErrorMessage="1" xr:uid="{23C144FF-8C1C-0046-983F-9E93E255A461}">
          <x14:formula1>
            <xm:f>OFFSET(villes_clients!$C$1,1,0,COUNTA(nom_commune)-1,1)</xm:f>
          </x14:formula1>
          <xm:sqref>C15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64FEFAD-C75A-4E44-91B5-D81EB36E222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15</vt:i4>
      </vt:variant>
    </vt:vector>
  </HeadingPairs>
  <TitlesOfParts>
    <vt:vector size="27" baseType="lpstr">
      <vt:lpstr>Consultants</vt:lpstr>
      <vt:lpstr>Domaines</vt:lpstr>
      <vt:lpstr>Contrats</vt:lpstr>
      <vt:lpstr>Projets</vt:lpstr>
      <vt:lpstr>Deplacements</vt:lpstr>
      <vt:lpstr>villes_clients</vt:lpstr>
      <vt:lpstr>voitures_declarees</vt:lpstr>
      <vt:lpstr>Jours fériés</vt:lpstr>
      <vt:lpstr>Valeurs de référence</vt:lpstr>
      <vt:lpstr>TCD Domaine</vt:lpstr>
      <vt:lpstr>TCD Deplacements</vt:lpstr>
      <vt:lpstr>Formulaire</vt:lpstr>
      <vt:lpstr>CO2_Train</vt:lpstr>
      <vt:lpstr>Dernier_contrat</vt:lpstr>
      <vt:lpstr>Domaine_Deplacements</vt:lpstr>
      <vt:lpstr>Factures</vt:lpstr>
      <vt:lpstr>Immat_voitures</vt:lpstr>
      <vt:lpstr>Jours_Fériés</vt:lpstr>
      <vt:lpstr>Matr</vt:lpstr>
      <vt:lpstr>Matr_Contrats</vt:lpstr>
      <vt:lpstr>Matr_Deplacements</vt:lpstr>
      <vt:lpstr>Moyens</vt:lpstr>
      <vt:lpstr>nom_commune</vt:lpstr>
      <vt:lpstr>Nuitée</vt:lpstr>
      <vt:lpstr>Num_Projet</vt:lpstr>
      <vt:lpstr>Num_Projet_Depl</vt:lpstr>
      <vt:lpstr>Seuil_population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Manuele Kirsch Pinheiro</cp:lastModifiedBy>
  <dcterms:created xsi:type="dcterms:W3CDTF">2026-08-26T14:47:46Z</dcterms:created>
  <dcterms:modified xsi:type="dcterms:W3CDTF">2026-08-31T18:03:11Z</dcterms:modified>
</cp:coreProperties>
</file>