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Documents\At_use\2-Cours\1 - Demographie\3-Models\2-Exercices TD\TD-3-4 Fertility models\"/>
    </mc:Choice>
  </mc:AlternateContent>
  <xr:revisionPtr revIDLastSave="0" documentId="13_ncr:1_{9B478258-35B0-4360-A809-5C38F8E96DE2}" xr6:coauthVersionLast="47" xr6:coauthVersionMax="47" xr10:uidLastSave="{00000000-0000-0000-0000-000000000000}"/>
  <bookViews>
    <workbookView xWindow="4280" yWindow="370" windowWidth="34120" windowHeight="20200" xr2:uid="{00000000-000D-0000-FFFF-FFFF00000000}"/>
  </bookViews>
  <sheets>
    <sheet name="Gamma" sheetId="1" r:id="rId1"/>
    <sheet name="Be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" l="1"/>
  <c r="L22" i="1" s="1"/>
  <c r="N6" i="1"/>
  <c r="Q6" i="1" s="1"/>
  <c r="N7" i="1"/>
  <c r="Q7" i="1" s="1"/>
  <c r="N8" i="1"/>
  <c r="Q8" i="1" s="1"/>
  <c r="N9" i="1"/>
  <c r="Q9" i="1" s="1"/>
  <c r="N10" i="1"/>
  <c r="Q10" i="1" s="1"/>
  <c r="N11" i="1"/>
  <c r="Q11" i="1" s="1"/>
  <c r="N12" i="1"/>
  <c r="Q12" i="1" s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5" i="1"/>
  <c r="K6" i="1"/>
  <c r="K19" i="1" s="1"/>
  <c r="K7" i="1"/>
  <c r="K8" i="1"/>
  <c r="K9" i="1"/>
  <c r="K10" i="1"/>
  <c r="K11" i="1"/>
  <c r="K12" i="1"/>
  <c r="K13" i="1"/>
  <c r="K14" i="1"/>
  <c r="K15" i="1"/>
  <c r="K16" i="1"/>
  <c r="K17" i="1"/>
  <c r="K18" i="1"/>
  <c r="K5" i="1"/>
  <c r="N21" i="1" l="1"/>
  <c r="N22" i="1" l="1"/>
  <c r="Q5" i="1" s="1"/>
  <c r="F5" i="1" l="1"/>
  <c r="U39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5" i="3"/>
  <c r="U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" i="3"/>
  <c r="R38" i="3"/>
  <c r="R34" i="3"/>
  <c r="R35" i="3"/>
  <c r="R36" i="3"/>
  <c r="R37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4" i="3"/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" i="3"/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5" i="1"/>
  <c r="C65" i="3" l="1"/>
  <c r="F64" i="3"/>
  <c r="E64" i="3"/>
  <c r="D64" i="3"/>
  <c r="F63" i="3"/>
  <c r="E63" i="3"/>
  <c r="D63" i="3"/>
  <c r="F62" i="3"/>
  <c r="E62" i="3"/>
  <c r="D62" i="3"/>
  <c r="F61" i="3"/>
  <c r="E61" i="3"/>
  <c r="D61" i="3"/>
  <c r="F60" i="3"/>
  <c r="E60" i="3"/>
  <c r="D60" i="3"/>
  <c r="F59" i="3"/>
  <c r="E59" i="3"/>
  <c r="D59" i="3"/>
  <c r="F58" i="3"/>
  <c r="E58" i="3"/>
  <c r="D58" i="3"/>
  <c r="D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B39" i="3" l="1"/>
  <c r="D42" i="3" s="1"/>
  <c r="B40" i="3"/>
  <c r="E42" i="3" s="1"/>
  <c r="D43" i="3" s="1"/>
  <c r="E65" i="3"/>
  <c r="D65" i="3"/>
  <c r="D66" i="3" s="1"/>
  <c r="D69" i="3" s="1"/>
  <c r="G19" i="1"/>
  <c r="B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D44" i="3" l="1"/>
  <c r="D47" i="3" s="1"/>
  <c r="C21" i="1"/>
  <c r="C22" i="1"/>
  <c r="D46" i="3"/>
  <c r="E66" i="3"/>
  <c r="E69" i="3" s="1"/>
  <c r="D45" i="3" l="1"/>
  <c r="D48" i="3"/>
  <c r="F27" i="3" s="1"/>
  <c r="G23" i="1"/>
  <c r="G22" i="1"/>
  <c r="G24" i="1" s="1"/>
  <c r="D70" i="3"/>
  <c r="D71" i="3"/>
  <c r="F16" i="3" l="1"/>
  <c r="F14" i="3"/>
  <c r="F24" i="3"/>
  <c r="F15" i="3"/>
  <c r="F5" i="3"/>
  <c r="F10" i="3"/>
  <c r="F34" i="3"/>
  <c r="F30" i="3"/>
  <c r="F32" i="3"/>
  <c r="F7" i="3"/>
  <c r="F11" i="3"/>
  <c r="F21" i="3"/>
  <c r="F3" i="3"/>
  <c r="F26" i="3"/>
  <c r="F33" i="3"/>
  <c r="F18" i="3"/>
  <c r="F22" i="3"/>
  <c r="F8" i="3"/>
  <c r="F35" i="3"/>
  <c r="F28" i="3"/>
  <c r="F31" i="3"/>
  <c r="F12" i="3"/>
  <c r="F37" i="3"/>
  <c r="F4" i="3"/>
  <c r="F19" i="3"/>
  <c r="F36" i="3"/>
  <c r="F9" i="3"/>
  <c r="F25" i="3"/>
  <c r="F13" i="3"/>
  <c r="F6" i="3"/>
  <c r="F20" i="3"/>
  <c r="F17" i="3"/>
  <c r="F29" i="3"/>
  <c r="F23" i="3"/>
  <c r="H22" i="1"/>
  <c r="D74" i="3"/>
  <c r="D73" i="3"/>
  <c r="D75" i="3"/>
  <c r="D72" i="3"/>
  <c r="F38" i="3" l="1"/>
  <c r="G60" i="3"/>
  <c r="F6" i="1"/>
  <c r="H6" i="1" s="1"/>
  <c r="F14" i="1"/>
  <c r="H14" i="1" s="1"/>
  <c r="F12" i="1"/>
  <c r="H12" i="1" s="1"/>
  <c r="F16" i="1"/>
  <c r="H16" i="1" s="1"/>
  <c r="F13" i="1"/>
  <c r="H13" i="1" s="1"/>
  <c r="F11" i="1"/>
  <c r="H11" i="1" s="1"/>
  <c r="F7" i="1"/>
  <c r="H7" i="1" s="1"/>
  <c r="F17" i="1"/>
  <c r="H17" i="1" s="1"/>
  <c r="F10" i="1"/>
  <c r="H10" i="1" s="1"/>
  <c r="F8" i="1"/>
  <c r="H8" i="1" s="1"/>
  <c r="G59" i="3"/>
  <c r="G61" i="3"/>
  <c r="G62" i="3"/>
  <c r="G63" i="3"/>
  <c r="G64" i="3"/>
  <c r="G58" i="3"/>
  <c r="G65" i="3" s="1"/>
  <c r="F18" i="1"/>
  <c r="H18" i="1" s="1"/>
  <c r="F15" i="1"/>
  <c r="H15" i="1" s="1"/>
  <c r="F9" i="1"/>
  <c r="H9" i="1" s="1"/>
  <c r="H5" i="1" l="1"/>
  <c r="F19" i="1"/>
</calcChain>
</file>

<file path=xl/sharedStrings.xml><?xml version="1.0" encoding="utf-8"?>
<sst xmlns="http://schemas.openxmlformats.org/spreadsheetml/2006/main" count="106" uniqueCount="76">
  <si>
    <t>Source: EUROSTAT</t>
  </si>
  <si>
    <t>âge</t>
  </si>
  <si>
    <t>Turquie</t>
  </si>
  <si>
    <t>centre de classe</t>
  </si>
  <si>
    <t>révolu</t>
  </si>
  <si>
    <t>xc</t>
  </si>
  <si>
    <t>amplitude</t>
  </si>
  <si>
    <t>fx(ajusté)</t>
  </si>
  <si>
    <t>fx(observé)</t>
  </si>
  <si>
    <t>15-17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</si>
  <si>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</si>
  <si>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</si>
  <si>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</si>
  <si>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</si>
  <si>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</si>
  <si>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</si>
  <si>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</si>
  <si>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</si>
  <si>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34-35</t>
  </si>
  <si>
    <t>36-37</t>
  </si>
  <si>
    <t>38-39</t>
  </si>
  <si>
    <t>40-44</t>
  </si>
  <si>
    <t>45-49</t>
  </si>
  <si>
    <t>Total</t>
  </si>
  <si>
    <t>a</t>
  </si>
  <si>
    <t>λ</t>
  </si>
  <si>
    <t>Γ(a)</t>
  </si>
  <si>
    <t xml:space="preserve"> Σ fx(ajusté)</t>
  </si>
  <si>
    <t>Σ fx</t>
  </si>
  <si>
    <t xml:space="preserve"> α - âge (point) de début</t>
  </si>
  <si>
    <t>France 2010</t>
  </si>
  <si>
    <t>fx</t>
  </si>
  <si>
    <t>x</t>
  </si>
  <si>
    <r>
      <t>x</t>
    </r>
    <r>
      <rPr>
        <vertAlign val="subscript"/>
        <sz val="10"/>
        <color theme="1"/>
        <rFont val="Arial"/>
        <family val="2"/>
      </rPr>
      <t>c</t>
    </r>
  </si>
  <si>
    <t>observés</t>
  </si>
  <si>
    <r>
      <t>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-15</t>
    </r>
  </si>
  <si>
    <r>
      <t>ajustés: b</t>
    </r>
    <r>
      <rPr>
        <sz val="10"/>
        <color theme="1"/>
        <rFont val="Calibri"/>
        <family val="2"/>
        <charset val="238"/>
      </rPr>
      <t>ê</t>
    </r>
    <r>
      <rPr>
        <sz val="10"/>
        <color theme="1"/>
        <rFont val="Arial"/>
        <family val="2"/>
      </rPr>
      <t>ta</t>
    </r>
  </si>
  <si>
    <r>
      <t>F(</t>
    </r>
    <r>
      <rPr>
        <b/>
        <sz val="10"/>
        <color rgb="FFFF0000"/>
        <rFont val="Calibri"/>
        <family val="2"/>
        <charset val="238"/>
      </rPr>
      <t>β</t>
    </r>
    <r>
      <rPr>
        <b/>
        <sz val="10"/>
        <color rgb="FFFF0000"/>
        <rFont val="Arial"/>
        <family val="2"/>
      </rPr>
      <t>)</t>
    </r>
  </si>
  <si>
    <t>moyenne</t>
  </si>
  <si>
    <t>variance</t>
  </si>
  <si>
    <t>m(x)</t>
  </si>
  <si>
    <r>
      <t>σ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(x)</t>
    </r>
  </si>
  <si>
    <t>m(X)</t>
  </si>
  <si>
    <t>b</t>
  </si>
  <si>
    <t>a+b</t>
  </si>
  <si>
    <t>Γ(b)</t>
  </si>
  <si>
    <t>Γ(a+b)</t>
  </si>
  <si>
    <t>http://www.danielsoper.com/statcalc3/calc.aspx?id=30</t>
  </si>
  <si>
    <t>http://www.miniwebtool.com/gamma-function-calculator/?number=6.7851</t>
  </si>
  <si>
    <t>5*fx</t>
  </si>
  <si>
    <r>
      <t>(x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)*fx</t>
    </r>
  </si>
  <si>
    <r>
      <t>(x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)^2*fx</t>
    </r>
  </si>
  <si>
    <t>ajustés: bêta</t>
  </si>
  <si>
    <t>15-19</t>
  </si>
  <si>
    <t>20-24</t>
  </si>
  <si>
    <t>25-29</t>
  </si>
  <si>
    <t>30-34</t>
  </si>
  <si>
    <t>35-39</t>
  </si>
  <si>
    <t>F(β)</t>
  </si>
  <si>
    <r>
      <t>x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-15</t>
    </r>
  </si>
  <si>
    <t>Age moyen =</t>
  </si>
  <si>
    <t>Variance d'âge=</t>
  </si>
  <si>
    <t>xc²</t>
  </si>
  <si>
    <r>
      <t>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²</t>
    </r>
  </si>
  <si>
    <t>y=(x-15)/35</t>
  </si>
  <si>
    <t>beta(y,a,b)</t>
  </si>
  <si>
    <t>F(b)*beta(y,a,b)</t>
  </si>
  <si>
    <t>fx ajuste</t>
  </si>
  <si>
    <t>Utilisation de la fonction 'loi.gamme.n(….;faux)</t>
  </si>
  <si>
    <t>Utilisation de l'algorithme de R.Pressat</t>
  </si>
  <si>
    <r>
      <t>X</t>
    </r>
    <r>
      <rPr>
        <vertAlign val="subscript"/>
        <sz val="10"/>
        <color theme="1"/>
        <rFont val="Calibri"/>
        <family val="2"/>
        <charset val="204"/>
        <scheme val="minor"/>
      </rPr>
      <t>c</t>
    </r>
  </si>
  <si>
    <t>pour le graphique</t>
  </si>
  <si>
    <t>corrigé</t>
  </si>
  <si>
    <r>
      <t>X</t>
    </r>
    <r>
      <rPr>
        <vertAlign val="subscript"/>
        <sz val="10"/>
        <color theme="1"/>
        <rFont val="Calibri"/>
        <family val="2"/>
        <charset val="204"/>
        <scheme val="minor"/>
      </rPr>
      <t>c</t>
    </r>
    <r>
      <rPr>
        <sz val="10"/>
        <color theme="1"/>
        <rFont val="Calibri"/>
        <family val="2"/>
        <charset val="204"/>
        <scheme val="minor"/>
      </rPr>
      <t>^2</t>
    </r>
  </si>
  <si>
    <r>
      <t>avec x</t>
    </r>
    <r>
      <rPr>
        <vertAlign val="subscript"/>
        <sz val="10"/>
        <color theme="1"/>
        <rFont val="Calibri"/>
        <family val="2"/>
        <charset val="204"/>
        <scheme val="minor"/>
      </rPr>
      <t>c</t>
    </r>
  </si>
  <si>
    <t>et l'ajustement des centres des intervalles d'âge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</si>
</sst>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3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theme="3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bscript"/>
      <sz val="10"/>
      <color theme="1"/>
      <name val="Arial"/>
      <family val="2"/>
    </font>
    <font>
      <sz val="10"/>
      <color theme="1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rgb="FFFF0000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bscript"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9" fillId="0" borderId="0"/>
    <xf numFmtId="0" fontId="29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/>
    <xf numFmtId="0" fontId="5" fillId="2" borderId="0" xfId="0" applyFont="1" applyFill="1" applyAlignment="1">
      <alignment horizontal="right"/>
    </xf>
    <xf numFmtId="49" fontId="5" fillId="0" borderId="0" xfId="0" applyNumberFormat="1" applyFont="1" applyAlignment="1">
      <alignment horizontal="right"/>
    </xf>
    <xf numFmtId="164" fontId="5" fillId="0" borderId="0" xfId="0" applyNumberFormat="1" applyFont="1"/>
    <xf numFmtId="165" fontId="5" fillId="3" borderId="0" xfId="0" applyNumberFormat="1" applyFont="1" applyFill="1"/>
    <xf numFmtId="166" fontId="5" fillId="2" borderId="0" xfId="0" applyNumberFormat="1" applyFont="1" applyFill="1"/>
    <xf numFmtId="0" fontId="6" fillId="0" borderId="0" xfId="0" applyFont="1"/>
    <xf numFmtId="165" fontId="7" fillId="3" borderId="0" xfId="0" applyNumberFormat="1" applyFont="1" applyFill="1"/>
    <xf numFmtId="0" fontId="7" fillId="3" borderId="0" xfId="0" applyFont="1" applyFill="1"/>
    <xf numFmtId="165" fontId="7" fillId="0" borderId="0" xfId="0" applyNumberFormat="1" applyFont="1" applyAlignment="1">
      <alignment horizontal="center"/>
    </xf>
    <xf numFmtId="166" fontId="5" fillId="0" borderId="0" xfId="0" applyNumberFormat="1" applyFont="1"/>
    <xf numFmtId="0" fontId="8" fillId="0" borderId="0" xfId="0" applyFont="1"/>
    <xf numFmtId="165" fontId="7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center"/>
    </xf>
    <xf numFmtId="0" fontId="5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13" fillId="0" borderId="0" xfId="0" applyFont="1"/>
    <xf numFmtId="0" fontId="14" fillId="0" borderId="0" xfId="0" applyFont="1" applyBorder="1" applyAlignment="1">
      <alignment vertical="top" wrapText="1"/>
    </xf>
    <xf numFmtId="165" fontId="1" fillId="0" borderId="0" xfId="0" applyNumberFormat="1" applyFont="1"/>
    <xf numFmtId="165" fontId="15" fillId="0" borderId="0" xfId="0" applyNumberFormat="1" applyFont="1" applyAlignment="1">
      <alignment horizontal="right"/>
    </xf>
    <xf numFmtId="165" fontId="15" fillId="0" borderId="0" xfId="0" applyNumberFormat="1" applyFont="1"/>
    <xf numFmtId="165" fontId="16" fillId="0" borderId="0" xfId="0" applyNumberFormat="1" applyFont="1" applyAlignment="1">
      <alignment horizontal="right"/>
    </xf>
    <xf numFmtId="0" fontId="15" fillId="0" borderId="0" xfId="0" applyFont="1"/>
    <xf numFmtId="165" fontId="15" fillId="0" borderId="0" xfId="0" applyNumberFormat="1" applyFont="1" applyAlignment="1">
      <alignment horizontal="center"/>
    </xf>
    <xf numFmtId="1" fontId="16" fillId="0" borderId="0" xfId="1" applyNumberFormat="1" applyFont="1" applyAlignment="1">
      <alignment horizontal="center"/>
    </xf>
    <xf numFmtId="167" fontId="16" fillId="0" borderId="0" xfId="1" applyNumberFormat="1" applyFont="1" applyAlignment="1">
      <alignment horizontal="center"/>
    </xf>
    <xf numFmtId="165" fontId="16" fillId="0" borderId="0" xfId="1" applyNumberFormat="1" applyFont="1" applyAlignment="1">
      <alignment horizontal="right"/>
    </xf>
    <xf numFmtId="167" fontId="16" fillId="0" borderId="0" xfId="1" applyNumberFormat="1" applyFont="1" applyAlignment="1">
      <alignment horizontal="right"/>
    </xf>
    <xf numFmtId="165" fontId="20" fillId="0" borderId="0" xfId="0" applyNumberFormat="1" applyFont="1" applyAlignment="1">
      <alignment horizontal="center"/>
    </xf>
    <xf numFmtId="165" fontId="22" fillId="0" borderId="0" xfId="0" applyNumberFormat="1" applyFont="1"/>
    <xf numFmtId="165" fontId="23" fillId="0" borderId="0" xfId="0" applyNumberFormat="1" applyFont="1"/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center"/>
    </xf>
    <xf numFmtId="165" fontId="26" fillId="0" borderId="0" xfId="0" applyNumberFormat="1" applyFont="1"/>
    <xf numFmtId="165" fontId="20" fillId="0" borderId="0" xfId="0" applyNumberFormat="1" applyFont="1"/>
    <xf numFmtId="165" fontId="27" fillId="0" borderId="0" xfId="0" applyNumberFormat="1" applyFont="1" applyAlignment="1">
      <alignment horizontal="right" vertical="center"/>
    </xf>
    <xf numFmtId="165" fontId="28" fillId="0" borderId="0" xfId="0" applyNumberFormat="1" applyFont="1"/>
    <xf numFmtId="165" fontId="27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165" fontId="29" fillId="0" borderId="0" xfId="2" applyNumberFormat="1"/>
    <xf numFmtId="165" fontId="2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165" fontId="15" fillId="0" borderId="0" xfId="0" applyNumberFormat="1" applyFont="1" applyAlignment="1">
      <alignment vertical="center"/>
    </xf>
    <xf numFmtId="165" fontId="30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</cellXfs>
  <cellStyles count="3">
    <cellStyle name="Lien hypertexte" xfId="2" builtinId="8"/>
    <cellStyle name="Normal" xfId="0" builtinId="0"/>
    <cellStyle name="normální_401908ri1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Gamma!$F$1</c:f>
          <c:strCache>
            <c:ptCount val="1"/>
            <c:pt idx="0">
              <c:v>Utilisation de l'algorithme de R.Pressat</c:v>
            </c:pt>
          </c:strCache>
        </c:strRef>
      </c:tx>
      <c:overlay val="0"/>
      <c:txPr>
        <a:bodyPr/>
        <a:lstStyle/>
        <a:p>
          <a:pPr>
            <a:defRPr sz="1400"/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6122703412073509E-2"/>
          <c:y val="0.12910628909994995"/>
          <c:w val="0.88380752405949259"/>
          <c:h val="0.7532857687558154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Gamma!$H$4</c:f>
              <c:strCache>
                <c:ptCount val="1"/>
                <c:pt idx="0">
                  <c:v>fx(ajusté)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Gamma!$C$5:$C$18</c:f>
              <c:numCache>
                <c:formatCode>General</c:formatCode>
                <c:ptCount val="14"/>
                <c:pt idx="0">
                  <c:v>16.5</c:v>
                </c:pt>
                <c:pt idx="1">
                  <c:v>19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  <c:pt idx="7">
                  <c:v>31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39</c:v>
                </c:pt>
                <c:pt idx="12">
                  <c:v>42.5</c:v>
                </c:pt>
                <c:pt idx="13">
                  <c:v>47.5</c:v>
                </c:pt>
              </c:numCache>
            </c:numRef>
          </c:xVal>
          <c:yVal>
            <c:numRef>
              <c:f>Gamma!$H$5:$H$18</c:f>
              <c:numCache>
                <c:formatCode>0.00000</c:formatCode>
                <c:ptCount val="14"/>
                <c:pt idx="0">
                  <c:v>1.5313124298764001E-3</c:v>
                </c:pt>
                <c:pt idx="1">
                  <c:v>3.4728892982877825E-2</c:v>
                </c:pt>
                <c:pt idx="2">
                  <c:v>8.7095680016064325E-2</c:v>
                </c:pt>
                <c:pt idx="3">
                  <c:v>0.13380523077643502</c:v>
                </c:pt>
                <c:pt idx="4">
                  <c:v>0.15715603475343098</c:v>
                </c:pt>
                <c:pt idx="5">
                  <c:v>0.15574902444653815</c:v>
                </c:pt>
                <c:pt idx="6">
                  <c:v>0.13728274950021405</c:v>
                </c:pt>
                <c:pt idx="7">
                  <c:v>0.1110576249302567</c:v>
                </c:pt>
                <c:pt idx="8">
                  <c:v>8.4144192701460715E-2</c:v>
                </c:pt>
                <c:pt idx="9">
                  <c:v>6.0541464427165757E-2</c:v>
                </c:pt>
                <c:pt idx="10">
                  <c:v>4.1775450682150828E-2</c:v>
                </c:pt>
                <c:pt idx="11">
                  <c:v>2.7847984191107129E-2</c:v>
                </c:pt>
                <c:pt idx="12">
                  <c:v>1.2805914892654946E-2</c:v>
                </c:pt>
                <c:pt idx="13">
                  <c:v>3.7660582333996157E-3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03B-4394-9F3C-57D01CE6D18B}"/>
            </c:ext>
          </c:extLst>
        </c:ser>
        <c:ser>
          <c:idx val="1"/>
          <c:order val="1"/>
          <c:tx>
            <c:strRef>
              <c:f>Gamma!$I$4</c:f>
              <c:strCache>
                <c:ptCount val="1"/>
                <c:pt idx="0">
                  <c:v>fx(observé)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Gamma!$C$5:$C$18</c:f>
              <c:numCache>
                <c:formatCode>General</c:formatCode>
                <c:ptCount val="14"/>
                <c:pt idx="0">
                  <c:v>16.5</c:v>
                </c:pt>
                <c:pt idx="1">
                  <c:v>19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  <c:pt idx="7">
                  <c:v>31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39</c:v>
                </c:pt>
                <c:pt idx="12">
                  <c:v>42.5</c:v>
                </c:pt>
                <c:pt idx="13">
                  <c:v>47.5</c:v>
                </c:pt>
              </c:numCache>
            </c:numRef>
          </c:xVal>
          <c:yVal>
            <c:numRef>
              <c:f>Gamma!$I$5:$I$18</c:f>
              <c:numCache>
                <c:formatCode>0.00000</c:formatCode>
                <c:ptCount val="14"/>
                <c:pt idx="0">
                  <c:v>1.0273333333333334E-2</c:v>
                </c:pt>
                <c:pt idx="1">
                  <c:v>5.2595000000000003E-2</c:v>
                </c:pt>
                <c:pt idx="2">
                  <c:v>8.8664999999999994E-2</c:v>
                </c:pt>
                <c:pt idx="3">
                  <c:v>0.11366499999999999</c:v>
                </c:pt>
                <c:pt idx="4">
                  <c:v>0.13197999999999999</c:v>
                </c:pt>
                <c:pt idx="5">
                  <c:v>0.13811499999999999</c:v>
                </c:pt>
                <c:pt idx="6">
                  <c:v>0.13113</c:v>
                </c:pt>
                <c:pt idx="7">
                  <c:v>0.114925</c:v>
                </c:pt>
                <c:pt idx="8">
                  <c:v>9.8264999999999991E-2</c:v>
                </c:pt>
                <c:pt idx="9">
                  <c:v>7.6355000000000006E-2</c:v>
                </c:pt>
                <c:pt idx="10">
                  <c:v>5.3690000000000002E-2</c:v>
                </c:pt>
                <c:pt idx="11">
                  <c:v>3.4034999999999996E-2</c:v>
                </c:pt>
                <c:pt idx="12">
                  <c:v>1.2216000000000001E-2</c:v>
                </c:pt>
                <c:pt idx="13">
                  <c:v>1.1259999999999998E-3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03B-4394-9F3C-57D01CE6D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857600"/>
        <c:axId val="84859520"/>
      </c:scatterChart>
      <c:valAx>
        <c:axId val="84857600"/>
        <c:scaling>
          <c:orientation val="minMax"/>
          <c:max val="50"/>
          <c:min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Gamma!$A$3</c:f>
              <c:strCache>
                <c:ptCount val="1"/>
                <c:pt idx="0">
                  <c:v>âge</c:v>
                </c:pt>
              </c:strCache>
            </c:strRef>
          </c:tx>
          <c:layout>
            <c:manualLayout>
              <c:xMode val="edge"/>
              <c:yMode val="edge"/>
              <c:x val="0.88226290463692048"/>
              <c:y val="0.926759259259259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859520"/>
        <c:crosses val="autoZero"/>
        <c:crossBetween val="midCat"/>
      </c:valAx>
      <c:valAx>
        <c:axId val="8485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Gamma!$B$4</c:f>
              <c:strCache>
                <c:ptCount val="1"/>
                <c:pt idx="0">
                  <c:v>Σ fx</c:v>
                </c:pt>
              </c:strCache>
            </c:strRef>
          </c:tx>
          <c:layout>
            <c:manualLayout>
              <c:xMode val="edge"/>
              <c:yMode val="edge"/>
              <c:x val="7.1736296980572781E-2"/>
              <c:y val="4.102342819574178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857600"/>
        <c:crosses val="autoZero"/>
        <c:crossBetween val="midCat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259689413823268"/>
          <c:y val="0.13483741615631378"/>
          <c:w val="0.22719510061242346"/>
          <c:h val="0.17866360454943131"/>
        </c:manualLayout>
      </c:layout>
      <c:overlay val="0"/>
      <c:spPr>
        <a:solidFill>
          <a:schemeClr val="accent5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Gamma!$K$1</c:f>
          <c:strCache>
            <c:ptCount val="1"/>
            <c:pt idx="0">
              <c:v>Utilisation de la fonction 'loi.gamme.n(….;faux)</c:v>
            </c:pt>
          </c:strCache>
        </c:strRef>
      </c:tx>
      <c:overlay val="0"/>
      <c:txPr>
        <a:bodyPr/>
        <a:lstStyle/>
        <a:p>
          <a:pPr>
            <a:defRPr sz="1400"/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6122703412073509E-2"/>
          <c:y val="0.12910628909994995"/>
          <c:w val="0.88380752405949259"/>
          <c:h val="0.7532857687558154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Gamma!$H$4</c:f>
              <c:strCache>
                <c:ptCount val="1"/>
                <c:pt idx="0">
                  <c:v>fx(ajusté)</c:v>
                </c:pt>
              </c:strCache>
            </c:strRef>
          </c:tx>
          <c:marker>
            <c:symbol val="none"/>
          </c:marker>
          <c:xVal>
            <c:numRef>
              <c:f>Gamma!$C$5:$C$18</c:f>
              <c:numCache>
                <c:formatCode>General</c:formatCode>
                <c:ptCount val="14"/>
                <c:pt idx="0">
                  <c:v>16.5</c:v>
                </c:pt>
                <c:pt idx="1">
                  <c:v>19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  <c:pt idx="7">
                  <c:v>31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39</c:v>
                </c:pt>
                <c:pt idx="12">
                  <c:v>42.5</c:v>
                </c:pt>
                <c:pt idx="13">
                  <c:v>47.5</c:v>
                </c:pt>
              </c:numCache>
            </c:numRef>
          </c:xVal>
          <c:yVal>
            <c:numRef>
              <c:f>Gamma!$P$5:$P$18</c:f>
              <c:numCache>
                <c:formatCode>General</c:formatCode>
                <c:ptCount val="14"/>
                <c:pt idx="0">
                  <c:v>1.5313124298764001E-3</c:v>
                </c:pt>
                <c:pt idx="1">
                  <c:v>3.4728892982877832E-2</c:v>
                </c:pt>
                <c:pt idx="2">
                  <c:v>8.7095680016064464E-2</c:v>
                </c:pt>
                <c:pt idx="3">
                  <c:v>0.13380523077643516</c:v>
                </c:pt>
                <c:pt idx="4">
                  <c:v>0.15715603475343071</c:v>
                </c:pt>
                <c:pt idx="5">
                  <c:v>0.1557490244465381</c:v>
                </c:pt>
                <c:pt idx="6">
                  <c:v>0.13728274950021419</c:v>
                </c:pt>
                <c:pt idx="7">
                  <c:v>0.11105762493025678</c:v>
                </c:pt>
                <c:pt idx="8">
                  <c:v>8.4144192701460646E-2</c:v>
                </c:pt>
                <c:pt idx="9">
                  <c:v>6.054146442716573E-2</c:v>
                </c:pt>
                <c:pt idx="10">
                  <c:v>4.1775450682150737E-2</c:v>
                </c:pt>
                <c:pt idx="11">
                  <c:v>2.7847984191107147E-2</c:v>
                </c:pt>
                <c:pt idx="12">
                  <c:v>1.280591489265492E-2</c:v>
                </c:pt>
                <c:pt idx="13">
                  <c:v>3.766058233399614E-3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906-47C0-B38D-9F364D42D3EA}"/>
            </c:ext>
          </c:extLst>
        </c:ser>
        <c:ser>
          <c:idx val="1"/>
          <c:order val="1"/>
          <c:tx>
            <c:strRef>
              <c:f>Gamma!$I$4</c:f>
              <c:strCache>
                <c:ptCount val="1"/>
                <c:pt idx="0">
                  <c:v>fx(observé)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Gamma!$C$5:$C$18</c:f>
              <c:numCache>
                <c:formatCode>General</c:formatCode>
                <c:ptCount val="14"/>
                <c:pt idx="0">
                  <c:v>16.5</c:v>
                </c:pt>
                <c:pt idx="1">
                  <c:v>19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  <c:pt idx="7">
                  <c:v>31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39</c:v>
                </c:pt>
                <c:pt idx="12">
                  <c:v>42.5</c:v>
                </c:pt>
                <c:pt idx="13">
                  <c:v>47.5</c:v>
                </c:pt>
              </c:numCache>
            </c:numRef>
          </c:xVal>
          <c:yVal>
            <c:numRef>
              <c:f>Gamma!$I$5:$I$18</c:f>
              <c:numCache>
                <c:formatCode>0.00000</c:formatCode>
                <c:ptCount val="14"/>
                <c:pt idx="0">
                  <c:v>1.0273333333333334E-2</c:v>
                </c:pt>
                <c:pt idx="1">
                  <c:v>5.2595000000000003E-2</c:v>
                </c:pt>
                <c:pt idx="2">
                  <c:v>8.8664999999999994E-2</c:v>
                </c:pt>
                <c:pt idx="3">
                  <c:v>0.11366499999999999</c:v>
                </c:pt>
                <c:pt idx="4">
                  <c:v>0.13197999999999999</c:v>
                </c:pt>
                <c:pt idx="5">
                  <c:v>0.13811499999999999</c:v>
                </c:pt>
                <c:pt idx="6">
                  <c:v>0.13113</c:v>
                </c:pt>
                <c:pt idx="7">
                  <c:v>0.114925</c:v>
                </c:pt>
                <c:pt idx="8">
                  <c:v>9.8264999999999991E-2</c:v>
                </c:pt>
                <c:pt idx="9">
                  <c:v>7.6355000000000006E-2</c:v>
                </c:pt>
                <c:pt idx="10">
                  <c:v>5.3690000000000002E-2</c:v>
                </c:pt>
                <c:pt idx="11">
                  <c:v>3.4034999999999996E-2</c:v>
                </c:pt>
                <c:pt idx="12">
                  <c:v>1.2216000000000001E-2</c:v>
                </c:pt>
                <c:pt idx="13">
                  <c:v>1.1259999999999998E-3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906-47C0-B38D-9F364D42D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857600"/>
        <c:axId val="84859520"/>
      </c:scatterChart>
      <c:valAx>
        <c:axId val="84857600"/>
        <c:scaling>
          <c:orientation val="minMax"/>
          <c:max val="50"/>
          <c:min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Gamma!$A$3</c:f>
              <c:strCache>
                <c:ptCount val="1"/>
                <c:pt idx="0">
                  <c:v>âge</c:v>
                </c:pt>
              </c:strCache>
            </c:strRef>
          </c:tx>
          <c:layout>
            <c:manualLayout>
              <c:xMode val="edge"/>
              <c:yMode val="edge"/>
              <c:x val="0.88226290463692048"/>
              <c:y val="0.926759259259259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859520"/>
        <c:crosses val="autoZero"/>
        <c:crossBetween val="midCat"/>
      </c:valAx>
      <c:valAx>
        <c:axId val="8485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Gamma!$B$4</c:f>
              <c:strCache>
                <c:ptCount val="1"/>
                <c:pt idx="0">
                  <c:v>Σ fx</c:v>
                </c:pt>
              </c:strCache>
            </c:strRef>
          </c:tx>
          <c:layout>
            <c:manualLayout>
              <c:xMode val="edge"/>
              <c:yMode val="edge"/>
              <c:x val="7.1736296980572781E-2"/>
              <c:y val="4.102342819574178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857600"/>
        <c:crosses val="autoZero"/>
        <c:crossBetween val="midCat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259689413823268"/>
          <c:y val="0.13483741615631378"/>
          <c:w val="0.22719510061242346"/>
          <c:h val="0.17866360454943131"/>
        </c:manualLayout>
      </c:layout>
      <c:overlay val="0"/>
      <c:spPr>
        <a:solidFill>
          <a:schemeClr val="accent5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Gamma!$K$1:$K$2</c:f>
          <c:strCache>
            <c:ptCount val="2"/>
            <c:pt idx="0">
              <c:v>Utilisation de la fonction 'loi.gamme.n(….;faux)</c:v>
            </c:pt>
            <c:pt idx="1">
              <c:v>et l'ajustement des centres des intervalles d'âge</c:v>
            </c:pt>
          </c:strCache>
        </c:strRef>
      </c:tx>
      <c:overlay val="0"/>
      <c:txPr>
        <a:bodyPr/>
        <a:lstStyle/>
        <a:p>
          <a:pPr>
            <a:defRPr sz="1200"/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6122703412073509E-2"/>
          <c:y val="0.18490339850841586"/>
          <c:w val="0.88380752405949259"/>
          <c:h val="0.6974886593473497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Gamma!$H$4</c:f>
              <c:strCache>
                <c:ptCount val="1"/>
                <c:pt idx="0">
                  <c:v>fx(ajusté)</c:v>
                </c:pt>
              </c:strCache>
            </c:strRef>
          </c:tx>
          <c:marker>
            <c:symbol val="none"/>
          </c:marker>
          <c:xVal>
            <c:numRef>
              <c:f>Gamma!$C$5:$C$18</c:f>
              <c:numCache>
                <c:formatCode>General</c:formatCode>
                <c:ptCount val="14"/>
                <c:pt idx="0">
                  <c:v>16.5</c:v>
                </c:pt>
                <c:pt idx="1">
                  <c:v>19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  <c:pt idx="7">
                  <c:v>31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39</c:v>
                </c:pt>
                <c:pt idx="12">
                  <c:v>42.5</c:v>
                </c:pt>
                <c:pt idx="13">
                  <c:v>47.5</c:v>
                </c:pt>
              </c:numCache>
            </c:numRef>
          </c:xVal>
          <c:yVal>
            <c:numRef>
              <c:f>Gamma!$Q$5:$Q$18</c:f>
              <c:numCache>
                <c:formatCode>General</c:formatCode>
                <c:ptCount val="14"/>
                <c:pt idx="0">
                  <c:v>1.5696118069280122E-2</c:v>
                </c:pt>
                <c:pt idx="1">
                  <c:v>5.1485648978682116E-2</c:v>
                </c:pt>
                <c:pt idx="2">
                  <c:v>9.1739765809519841E-2</c:v>
                </c:pt>
                <c:pt idx="3">
                  <c:v>0.1154112673834639</c:v>
                </c:pt>
                <c:pt idx="4">
                  <c:v>0.1326990543092762</c:v>
                </c:pt>
                <c:pt idx="5">
                  <c:v>0.13521030228277225</c:v>
                </c:pt>
                <c:pt idx="6">
                  <c:v>0.13001948369006619</c:v>
                </c:pt>
                <c:pt idx="7">
                  <c:v>0.11572428384152664</c:v>
                </c:pt>
                <c:pt idx="8">
                  <c:v>9.7122541726893455E-2</c:v>
                </c:pt>
                <c:pt idx="9">
                  <c:v>7.7845106963887814E-2</c:v>
                </c:pt>
                <c:pt idx="10">
                  <c:v>5.6087838217683081E-2</c:v>
                </c:pt>
                <c:pt idx="11">
                  <c:v>3.5670920382663202E-2</c:v>
                </c:pt>
                <c:pt idx="12">
                  <c:v>1.6504553894268716E-2</c:v>
                </c:pt>
                <c:pt idx="13">
                  <c:v>6.3701820524600748E-3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62F-4316-A280-1B96E567B0A9}"/>
            </c:ext>
          </c:extLst>
        </c:ser>
        <c:ser>
          <c:idx val="1"/>
          <c:order val="1"/>
          <c:tx>
            <c:strRef>
              <c:f>Gamma!$I$4</c:f>
              <c:strCache>
                <c:ptCount val="1"/>
                <c:pt idx="0">
                  <c:v>fx(observé)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Gamma!$C$5:$C$18</c:f>
              <c:numCache>
                <c:formatCode>General</c:formatCode>
                <c:ptCount val="14"/>
                <c:pt idx="0">
                  <c:v>16.5</c:v>
                </c:pt>
                <c:pt idx="1">
                  <c:v>19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  <c:pt idx="7">
                  <c:v>31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39</c:v>
                </c:pt>
                <c:pt idx="12">
                  <c:v>42.5</c:v>
                </c:pt>
                <c:pt idx="13">
                  <c:v>47.5</c:v>
                </c:pt>
              </c:numCache>
            </c:numRef>
          </c:xVal>
          <c:yVal>
            <c:numRef>
              <c:f>Gamma!$I$5:$I$18</c:f>
              <c:numCache>
                <c:formatCode>0.00000</c:formatCode>
                <c:ptCount val="14"/>
                <c:pt idx="0">
                  <c:v>1.0273333333333334E-2</c:v>
                </c:pt>
                <c:pt idx="1">
                  <c:v>5.2595000000000003E-2</c:v>
                </c:pt>
                <c:pt idx="2">
                  <c:v>8.8664999999999994E-2</c:v>
                </c:pt>
                <c:pt idx="3">
                  <c:v>0.11366499999999999</c:v>
                </c:pt>
                <c:pt idx="4">
                  <c:v>0.13197999999999999</c:v>
                </c:pt>
                <c:pt idx="5">
                  <c:v>0.13811499999999999</c:v>
                </c:pt>
                <c:pt idx="6">
                  <c:v>0.13113</c:v>
                </c:pt>
                <c:pt idx="7">
                  <c:v>0.114925</c:v>
                </c:pt>
                <c:pt idx="8">
                  <c:v>9.8264999999999991E-2</c:v>
                </c:pt>
                <c:pt idx="9">
                  <c:v>7.6355000000000006E-2</c:v>
                </c:pt>
                <c:pt idx="10">
                  <c:v>5.3690000000000002E-2</c:v>
                </c:pt>
                <c:pt idx="11">
                  <c:v>3.4034999999999996E-2</c:v>
                </c:pt>
                <c:pt idx="12">
                  <c:v>1.2216000000000001E-2</c:v>
                </c:pt>
                <c:pt idx="13">
                  <c:v>1.1259999999999998E-3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62F-4316-A280-1B96E567B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857600"/>
        <c:axId val="84859520"/>
      </c:scatterChart>
      <c:valAx>
        <c:axId val="84857600"/>
        <c:scaling>
          <c:orientation val="minMax"/>
          <c:max val="50"/>
          <c:min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Gamma!$A$3</c:f>
              <c:strCache>
                <c:ptCount val="1"/>
                <c:pt idx="0">
                  <c:v>âge</c:v>
                </c:pt>
              </c:strCache>
            </c:strRef>
          </c:tx>
          <c:layout>
            <c:manualLayout>
              <c:xMode val="edge"/>
              <c:yMode val="edge"/>
              <c:x val="0.88226290463692048"/>
              <c:y val="0.926759259259259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859520"/>
        <c:crosses val="autoZero"/>
        <c:crossBetween val="midCat"/>
      </c:valAx>
      <c:valAx>
        <c:axId val="8485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Gamma!$B$4</c:f>
              <c:strCache>
                <c:ptCount val="1"/>
                <c:pt idx="0">
                  <c:v>Σ fx</c:v>
                </c:pt>
              </c:strCache>
            </c:strRef>
          </c:tx>
          <c:layout>
            <c:manualLayout>
              <c:xMode val="edge"/>
              <c:yMode val="edge"/>
              <c:x val="7.1736296980572781E-2"/>
              <c:y val="4.102342819574178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857600"/>
        <c:crosses val="autoZero"/>
        <c:crossBetween val="midCat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359015371302974"/>
          <c:y val="0.25440249549276722"/>
          <c:w val="0.22719510061242346"/>
          <c:h val="0.17866360454943131"/>
        </c:manualLayout>
      </c:layout>
      <c:overlay val="0"/>
      <c:spPr>
        <a:solidFill>
          <a:schemeClr val="accent5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823059154642724E-2"/>
          <c:y val="8.1032144875731682E-2"/>
          <c:w val="0.88613172899667036"/>
          <c:h val="0.8163626977150751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Beta!$D$2</c:f>
              <c:strCache>
                <c:ptCount val="1"/>
                <c:pt idx="0">
                  <c:v>observés</c:v>
                </c:pt>
              </c:strCache>
            </c:strRef>
          </c:tx>
          <c:marker>
            <c:symbol val="diamond"/>
            <c:size val="6"/>
          </c:marker>
          <c:xVal>
            <c:numRef>
              <c:f>Beta!$B$3:$B$37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Beta!$D$3:$D$37</c:f>
              <c:numCache>
                <c:formatCode>0.0000</c:formatCode>
                <c:ptCount val="35"/>
                <c:pt idx="0">
                  <c:v>1.3612130955820828E-3</c:v>
                </c:pt>
                <c:pt idx="1">
                  <c:v>2.9526766957771729E-3</c:v>
                </c:pt>
                <c:pt idx="2">
                  <c:v>6.7560996693536183E-3</c:v>
                </c:pt>
                <c:pt idx="3">
                  <c:v>1.3237440744125105E-2</c:v>
                </c:pt>
                <c:pt idx="4">
                  <c:v>2.4081113713098266E-2</c:v>
                </c:pt>
                <c:pt idx="5">
                  <c:v>3.4254313560280553E-2</c:v>
                </c:pt>
                <c:pt idx="6">
                  <c:v>4.5648053356578851E-2</c:v>
                </c:pt>
                <c:pt idx="7">
                  <c:v>5.8466301045269536E-2</c:v>
                </c:pt>
                <c:pt idx="8">
                  <c:v>7.3929400178342944E-2</c:v>
                </c:pt>
                <c:pt idx="9">
                  <c:v>8.950618072390723E-2</c:v>
                </c:pt>
                <c:pt idx="10">
                  <c:v>0.10820406337352576</c:v>
                </c:pt>
                <c:pt idx="11">
                  <c:v>0.1234393881020724</c:v>
                </c:pt>
                <c:pt idx="12">
                  <c:v>0.13814579856459208</c:v>
                </c:pt>
                <c:pt idx="13">
                  <c:v>0.14740084236827947</c:v>
                </c:pt>
                <c:pt idx="14">
                  <c:v>0.15164925485069577</c:v>
                </c:pt>
                <c:pt idx="15">
                  <c:v>0.15016069522944989</c:v>
                </c:pt>
                <c:pt idx="16">
                  <c:v>0.14161067484011428</c:v>
                </c:pt>
                <c:pt idx="17">
                  <c:v>0.1304385112343491</c:v>
                </c:pt>
                <c:pt idx="18">
                  <c:v>0.11578762757606138</c:v>
                </c:pt>
                <c:pt idx="19">
                  <c:v>9.9532267289265647E-2</c:v>
                </c:pt>
                <c:pt idx="20">
                  <c:v>8.6652349180564761E-2</c:v>
                </c:pt>
                <c:pt idx="21">
                  <c:v>7.0516734456165395E-2</c:v>
                </c:pt>
                <c:pt idx="22">
                  <c:v>5.637376752682028E-2</c:v>
                </c:pt>
                <c:pt idx="23">
                  <c:v>4.410406677321968E-2</c:v>
                </c:pt>
                <c:pt idx="24">
                  <c:v>3.4239400183073233E-2</c:v>
                </c:pt>
                <c:pt idx="25">
                  <c:v>2.4684952828256626E-2</c:v>
                </c:pt>
                <c:pt idx="26">
                  <c:v>1.6428809828841713E-2</c:v>
                </c:pt>
                <c:pt idx="27">
                  <c:v>1.0509645342598567E-2</c:v>
                </c:pt>
                <c:pt idx="28">
                  <c:v>6.1990182426953123E-3</c:v>
                </c:pt>
                <c:pt idx="29">
                  <c:v>3.2773673606447278E-3</c:v>
                </c:pt>
                <c:pt idx="30">
                  <c:v>1.711290638996368E-3</c:v>
                </c:pt>
                <c:pt idx="31">
                  <c:v>8.7696336524198772E-4</c:v>
                </c:pt>
                <c:pt idx="32">
                  <c:v>4.1730060643928671E-4</c:v>
                </c:pt>
                <c:pt idx="33">
                  <c:v>2.0124865643652662E-4</c:v>
                </c:pt>
                <c:pt idx="34">
                  <c:v>4.119940627077852E-4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221-4B1F-8D0F-BC75187A1C21}"/>
            </c:ext>
          </c:extLst>
        </c:ser>
        <c:ser>
          <c:idx val="1"/>
          <c:order val="1"/>
          <c:tx>
            <c:strRef>
              <c:f>Beta!$F$2</c:f>
              <c:strCache>
                <c:ptCount val="1"/>
                <c:pt idx="0">
                  <c:v>ajustés: bêta</c:v>
                </c:pt>
              </c:strCache>
            </c:strRef>
          </c:tx>
          <c:marker>
            <c:symbol val="square"/>
            <c:size val="5"/>
          </c:marker>
          <c:xVal>
            <c:numRef>
              <c:f>Beta!$B$3:$B$37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Beta!$F$3:$F$37</c:f>
              <c:numCache>
                <c:formatCode>0.0000</c:formatCode>
                <c:ptCount val="35"/>
                <c:pt idx="0">
                  <c:v>3.016470598106926E-5</c:v>
                </c:pt>
                <c:pt idx="1">
                  <c:v>9.1114366477139527E-4</c:v>
                </c:pt>
                <c:pt idx="2">
                  <c:v>4.1158843546211955E-3</c:v>
                </c:pt>
                <c:pt idx="3">
                  <c:v>1.054851112032381E-2</c:v>
                </c:pt>
                <c:pt idx="4">
                  <c:v>2.0445683024839088E-2</c:v>
                </c:pt>
                <c:pt idx="5">
                  <c:v>3.3489621094472843E-2</c:v>
                </c:pt>
                <c:pt idx="6">
                  <c:v>4.8957748244257346E-2</c:v>
                </c:pt>
                <c:pt idx="7">
                  <c:v>6.5873071467239461E-2</c:v>
                </c:pt>
                <c:pt idx="8">
                  <c:v>8.3140732705638126E-2</c:v>
                </c:pt>
                <c:pt idx="9">
                  <c:v>9.9664160457008599E-2</c:v>
                </c:pt>
                <c:pt idx="10">
                  <c:v>0.11443814450666481</c:v>
                </c:pt>
                <c:pt idx="11">
                  <c:v>0.12661833398320219</c:v>
                </c:pt>
                <c:pt idx="12">
                  <c:v>0.13556798624290339</c:v>
                </c:pt>
                <c:pt idx="13">
                  <c:v>0.14088364350901619</c:v>
                </c:pt>
                <c:pt idx="14">
                  <c:v>0.14240196871542687</c:v>
                </c:pt>
                <c:pt idx="15">
                  <c:v>0.1401903303223058</c:v>
                </c:pt>
                <c:pt idx="16">
                  <c:v>0.13452394511924823</c:v>
                </c:pt>
                <c:pt idx="17">
                  <c:v>0.12585250311260954</c:v>
                </c:pt>
                <c:pt idx="18">
                  <c:v>0.11475923167547132</c:v>
                </c:pt>
                <c:pt idx="19">
                  <c:v>0.10191532163591455</c:v>
                </c:pt>
                <c:pt idx="20">
                  <c:v>8.8032545302217963E-2</c:v>
                </c:pt>
                <c:pt idx="21">
                  <c:v>7.3816751541428999E-2</c:v>
                </c:pt>
                <c:pt idx="22">
                  <c:v>5.9924729358902508E-2</c:v>
                </c:pt>
                <c:pt idx="23">
                  <c:v>4.692669031219978E-2</c:v>
                </c:pt>
                <c:pt idx="24">
                  <c:v>3.5276330975224632E-2</c:v>
                </c:pt>
                <c:pt idx="25">
                  <c:v>2.5290097013448153E-2</c:v>
                </c:pt>
                <c:pt idx="26">
                  <c:v>1.713687536788169E-2</c:v>
                </c:pt>
                <c:pt idx="27">
                  <c:v>1.0838882611897124E-2</c:v>
                </c:pt>
                <c:pt idx="28">
                  <c:v>6.283983282490138E-3</c:v>
                </c:pt>
                <c:pt idx="29">
                  <c:v>3.2490423341454944E-3</c:v>
                </c:pt>
                <c:pt idx="30">
                  <c:v>1.4331590981470342E-3</c:v>
                </c:pt>
                <c:pt idx="31">
                  <c:v>4.9869179765370589E-4</c:v>
                </c:pt>
                <c:pt idx="32">
                  <c:v>1.1675992179341487E-4</c:v>
                </c:pt>
                <c:pt idx="33">
                  <c:v>1.2190148437002051E-5</c:v>
                </c:pt>
                <c:pt idx="34">
                  <c:v>8.4236322351617012E-8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221-4B1F-8D0F-BC75187A1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127552"/>
        <c:axId val="87129088"/>
      </c:scatterChart>
      <c:valAx>
        <c:axId val="87127552"/>
        <c:scaling>
          <c:orientation val="minMax"/>
          <c:max val="49.5"/>
          <c:min val="15.5"/>
        </c:scaling>
        <c:delete val="0"/>
        <c:axPos val="b"/>
        <c:majorGridlines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87129088"/>
        <c:crosses val="autoZero"/>
        <c:crossBetween val="midCat"/>
        <c:majorUnit val="5"/>
      </c:valAx>
      <c:valAx>
        <c:axId val="87129088"/>
        <c:scaling>
          <c:orientation val="minMax"/>
          <c:min val="0"/>
        </c:scaling>
        <c:delete val="0"/>
        <c:axPos val="l"/>
        <c:majorGridlines/>
        <c:numFmt formatCode="0.00" sourceLinked="0"/>
        <c:majorTickMark val="out"/>
        <c:minorTickMark val="none"/>
        <c:tickLblPos val="nextTo"/>
        <c:txPr>
          <a:bodyPr/>
          <a:lstStyle/>
          <a:p>
            <a:pPr>
              <a:defRPr sz="10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87127552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7166372721928282"/>
          <c:y val="0.14854637478822558"/>
          <c:w val="0.31075837742504447"/>
          <c:h val="0.12997869794086395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68285214348206E-2"/>
          <c:y val="7.9178331875182334E-2"/>
          <c:w val="0.9029136045494317"/>
          <c:h val="0.80021216097987746"/>
        </c:manualLayout>
      </c:layout>
      <c:lineChart>
        <c:grouping val="standard"/>
        <c:varyColors val="0"/>
        <c:ser>
          <c:idx val="0"/>
          <c:order val="0"/>
          <c:tx>
            <c:strRef>
              <c:f>Beta!$C$57</c:f>
              <c:strCache>
                <c:ptCount val="1"/>
                <c:pt idx="0">
                  <c:v>observés</c:v>
                </c:pt>
              </c:strCache>
            </c:strRef>
          </c:tx>
          <c:marker>
            <c:symbol val="diamond"/>
            <c:size val="8"/>
          </c:marker>
          <c:cat>
            <c:strRef>
              <c:f>Beta!$A$58:$A$64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Beta!$C$58:$C$64</c:f>
              <c:numCache>
                <c:formatCode>0.0000</c:formatCode>
                <c:ptCount val="7"/>
                <c:pt idx="0">
                  <c:v>4.8388543917936247E-2</c:v>
                </c:pt>
                <c:pt idx="1">
                  <c:v>0.30180424886437907</c:v>
                </c:pt>
                <c:pt idx="2">
                  <c:v>0.6688393472591655</c:v>
                </c:pt>
                <c:pt idx="3">
                  <c:v>0.63752977616924034</c:v>
                </c:pt>
                <c:pt idx="4">
                  <c:v>0.29188631811984334</c:v>
                </c:pt>
                <c:pt idx="5">
                  <c:v>6.1099793603036939E-2</c:v>
                </c:pt>
                <c:pt idx="6">
                  <c:v>3.618797329821954E-3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F0-4457-B0B5-CAA032EBE7AB}"/>
            </c:ext>
          </c:extLst>
        </c:ser>
        <c:ser>
          <c:idx val="1"/>
          <c:order val="1"/>
          <c:tx>
            <c:strRef>
              <c:f>Beta!$G$57</c:f>
              <c:strCache>
                <c:ptCount val="1"/>
                <c:pt idx="0">
                  <c:v>ajustés: bêta</c:v>
                </c:pt>
              </c:strCache>
            </c:strRef>
          </c:tx>
          <c:cat>
            <c:strRef>
              <c:f>Beta!$A$58:$A$64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Beta!$G$58:$G$64</c:f>
              <c:numCache>
                <c:formatCode>0.0000</c:formatCode>
                <c:ptCount val="7"/>
                <c:pt idx="0">
                  <c:v>2.8237240026553326E-2</c:v>
                </c:pt>
                <c:pt idx="1">
                  <c:v>0.34379548519188052</c:v>
                </c:pt>
                <c:pt idx="2">
                  <c:v>0.65592313155792459</c:v>
                </c:pt>
                <c:pt idx="3">
                  <c:v>0.60885768205908297</c:v>
                </c:pt>
                <c:pt idx="4">
                  <c:v>0.30848448522328681</c:v>
                </c:pt>
                <c:pt idx="5">
                  <c:v>6.4879550673246633E-2</c:v>
                </c:pt>
                <c:pt idx="6">
                  <c:v>1.0499648218012039E-3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F0-4457-B0B5-CAA032EBE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05760"/>
        <c:axId val="85207296"/>
      </c:lineChart>
      <c:catAx>
        <c:axId val="85205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ysClr val="windowText" lastClr="000000"/>
                </a:solidFill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85207296"/>
        <c:crosses val="autoZero"/>
        <c:auto val="1"/>
        <c:lblAlgn val="ctr"/>
        <c:lblOffset val="100"/>
        <c:noMultiLvlLbl val="0"/>
      </c:catAx>
      <c:valAx>
        <c:axId val="85207296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8520576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67694378827646562"/>
          <c:y val="0.20794947506561706"/>
          <c:w val="0.24636388213030577"/>
          <c:h val="0.15197709504748802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88648293963255"/>
          <c:y val="5.0925925925925923E-2"/>
          <c:w val="0.82896062992125985"/>
          <c:h val="0.841674686497521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Beta!$D$2</c:f>
              <c:strCache>
                <c:ptCount val="1"/>
                <c:pt idx="0">
                  <c:v>observés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Beta!$B$3:$B$37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Beta!$D$3:$D$37</c:f>
              <c:numCache>
                <c:formatCode>0.0000</c:formatCode>
                <c:ptCount val="35"/>
                <c:pt idx="0">
                  <c:v>1.3612130955820828E-3</c:v>
                </c:pt>
                <c:pt idx="1">
                  <c:v>2.9526766957771729E-3</c:v>
                </c:pt>
                <c:pt idx="2">
                  <c:v>6.7560996693536183E-3</c:v>
                </c:pt>
                <c:pt idx="3">
                  <c:v>1.3237440744125105E-2</c:v>
                </c:pt>
                <c:pt idx="4">
                  <c:v>2.4081113713098266E-2</c:v>
                </c:pt>
                <c:pt idx="5">
                  <c:v>3.4254313560280553E-2</c:v>
                </c:pt>
                <c:pt idx="6">
                  <c:v>4.5648053356578851E-2</c:v>
                </c:pt>
                <c:pt idx="7">
                  <c:v>5.8466301045269536E-2</c:v>
                </c:pt>
                <c:pt idx="8">
                  <c:v>7.3929400178342944E-2</c:v>
                </c:pt>
                <c:pt idx="9">
                  <c:v>8.950618072390723E-2</c:v>
                </c:pt>
                <c:pt idx="10">
                  <c:v>0.10820406337352576</c:v>
                </c:pt>
                <c:pt idx="11">
                  <c:v>0.1234393881020724</c:v>
                </c:pt>
                <c:pt idx="12">
                  <c:v>0.13814579856459208</c:v>
                </c:pt>
                <c:pt idx="13">
                  <c:v>0.14740084236827947</c:v>
                </c:pt>
                <c:pt idx="14">
                  <c:v>0.15164925485069577</c:v>
                </c:pt>
                <c:pt idx="15">
                  <c:v>0.15016069522944989</c:v>
                </c:pt>
                <c:pt idx="16">
                  <c:v>0.14161067484011428</c:v>
                </c:pt>
                <c:pt idx="17">
                  <c:v>0.1304385112343491</c:v>
                </c:pt>
                <c:pt idx="18">
                  <c:v>0.11578762757606138</c:v>
                </c:pt>
                <c:pt idx="19">
                  <c:v>9.9532267289265647E-2</c:v>
                </c:pt>
                <c:pt idx="20">
                  <c:v>8.6652349180564761E-2</c:v>
                </c:pt>
                <c:pt idx="21">
                  <c:v>7.0516734456165395E-2</c:v>
                </c:pt>
                <c:pt idx="22">
                  <c:v>5.637376752682028E-2</c:v>
                </c:pt>
                <c:pt idx="23">
                  <c:v>4.410406677321968E-2</c:v>
                </c:pt>
                <c:pt idx="24">
                  <c:v>3.4239400183073233E-2</c:v>
                </c:pt>
                <c:pt idx="25">
                  <c:v>2.4684952828256626E-2</c:v>
                </c:pt>
                <c:pt idx="26">
                  <c:v>1.6428809828841713E-2</c:v>
                </c:pt>
                <c:pt idx="27">
                  <c:v>1.0509645342598567E-2</c:v>
                </c:pt>
                <c:pt idx="28">
                  <c:v>6.1990182426953123E-3</c:v>
                </c:pt>
                <c:pt idx="29">
                  <c:v>3.2773673606447278E-3</c:v>
                </c:pt>
                <c:pt idx="30">
                  <c:v>1.711290638996368E-3</c:v>
                </c:pt>
                <c:pt idx="31">
                  <c:v>8.7696336524198772E-4</c:v>
                </c:pt>
                <c:pt idx="32">
                  <c:v>4.1730060643928671E-4</c:v>
                </c:pt>
                <c:pt idx="33">
                  <c:v>2.0124865643652662E-4</c:v>
                </c:pt>
                <c:pt idx="34">
                  <c:v>4.119940627077852E-4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3EB-409A-9541-93F9474A9B44}"/>
            </c:ext>
          </c:extLst>
        </c:ser>
        <c:ser>
          <c:idx val="1"/>
          <c:order val="1"/>
          <c:tx>
            <c:strRef>
              <c:f>Beta!$U$3</c:f>
              <c:strCache>
                <c:ptCount val="1"/>
                <c:pt idx="0">
                  <c:v>fx ajuste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Beta!$B$3:$B$37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Beta!$U$4:$U$37</c:f>
              <c:numCache>
                <c:formatCode>General</c:formatCode>
                <c:ptCount val="34"/>
                <c:pt idx="0">
                  <c:v>3.6152867940890139E-6</c:v>
                </c:pt>
                <c:pt idx="1">
                  <c:v>3.329427597686257E-4</c:v>
                </c:pt>
                <c:pt idx="2">
                  <c:v>2.2714935563281492E-3</c:v>
                </c:pt>
                <c:pt idx="3">
                  <c:v>7.0438064698347576E-3</c:v>
                </c:pt>
                <c:pt idx="4">
                  <c:v>1.5214261869399089E-2</c:v>
                </c:pt>
                <c:pt idx="5">
                  <c:v>2.6730521633041085E-2</c:v>
                </c:pt>
                <c:pt idx="6">
                  <c:v>4.1059590716430054E-2</c:v>
                </c:pt>
                <c:pt idx="7">
                  <c:v>5.7339586368050324E-2</c:v>
                </c:pt>
                <c:pt idx="8">
                  <c:v>7.4523990668691115E-2</c:v>
                </c:pt>
                <c:pt idx="9">
                  <c:v>9.1508350344442962E-2</c:v>
                </c:pt>
                <c:pt idx="10">
                  <c:v>0.10723500508504974</c:v>
                </c:pt>
                <c:pt idx="11">
                  <c:v>0.12077435099657186</c:v>
                </c:pt>
                <c:pt idx="12">
                  <c:v>0.1313828541843427</c:v>
                </c:pt>
                <c:pt idx="13">
                  <c:v>0.13853909708967149</c:v>
                </c:pt>
                <c:pt idx="14">
                  <c:v>0.14195983137735813</c:v>
                </c:pt>
                <c:pt idx="15">
                  <c:v>0.14159846150896194</c:v>
                </c:pt>
                <c:pt idx="16">
                  <c:v>0.13762866828071751</c:v>
                </c:pt>
                <c:pt idx="17">
                  <c:v>0.13041604649206517</c:v>
                </c:pt>
                <c:pt idx="18">
                  <c:v>0.12048070352248241</c:v>
                </c:pt>
                <c:pt idx="19">
                  <c:v>0.10845376392176775</c:v>
                </c:pt>
                <c:pt idx="20">
                  <c:v>9.5030660905934594E-2</c:v>
                </c:pt>
                <c:pt idx="21">
                  <c:v>8.0923976489917893E-2</c:v>
                </c:pt>
                <c:pt idx="22">
                  <c:v>6.6818422519247189E-2</c:v>
                </c:pt>
                <c:pt idx="23">
                  <c:v>5.3330337439394526E-2</c:v>
                </c:pt>
                <c:pt idx="24">
                  <c:v>4.0973808651360688E-2</c:v>
                </c:pt>
                <c:pt idx="25">
                  <c:v>3.0135216216325755E-2</c:v>
                </c:pt>
                <c:pt idx="26">
                  <c:v>2.1057626832392762E-2</c:v>
                </c:pt>
                <c:pt idx="27">
                  <c:v>1.3836041080746098E-2</c:v>
                </c:pt>
                <c:pt idx="28">
                  <c:v>8.4240018717891552E-3</c:v>
                </c:pt>
                <c:pt idx="29">
                  <c:v>4.6514920955669226E-3</c:v>
                </c:pt>
                <c:pt idx="30">
                  <c:v>2.2533596347260598E-3</c:v>
                </c:pt>
                <c:pt idx="31">
                  <c:v>9.066663071268799E-4</c:v>
                </c:pt>
                <c:pt idx="32">
                  <c:v>2.7428891964875746E-4</c:v>
                </c:pt>
                <c:pt idx="33">
                  <c:v>5.065538028770078E-5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3EB-409A-9541-93F9474A9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542944"/>
        <c:axId val="1622484352"/>
      </c:scatterChart>
      <c:valAx>
        <c:axId val="475542944"/>
        <c:scaling>
          <c:orientation val="minMax"/>
          <c:max val="50"/>
          <c:min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22484352"/>
        <c:crosses val="autoZero"/>
        <c:crossBetween val="midCat"/>
      </c:valAx>
      <c:valAx>
        <c:axId val="1622484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55429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033311461067369"/>
          <c:y val="0.17650408282298047"/>
          <c:w val="0.17411132983377078"/>
          <c:h val="0.156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449811</xdr:colOff>
      <xdr:row>24</xdr:row>
      <xdr:rowOff>91672</xdr:rowOff>
    </xdr:from>
    <xdr:to>
      <xdr:col>3</xdr:col>
      <xdr:colOff>182649</xdr:colOff>
      <xdr:row>26</xdr:row>
      <xdr:rowOff>25057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9811" y="4109490"/>
          <a:ext cx="1585883" cy="268203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1400" b="1">
              <a:solidFill>
                <a:srgbClr val="C00000"/>
              </a:solidFill>
              <a:sym typeface="Symbol"/>
            </a:rPr>
            <a:t>=</a:t>
          </a:r>
          <a:r>
            <a:rPr lang="fr-FR" sz="1400" b="1">
              <a:solidFill>
                <a:srgbClr val="C00000"/>
              </a:solidFill>
              <a:sym typeface="Symbol"/>
            </a:rPr>
            <a:t>[</a:t>
          </a:r>
          <a:r>
            <a:rPr lang="cs-CZ" sz="1400" b="1">
              <a:solidFill>
                <a:srgbClr val="C00000"/>
              </a:solidFill>
            </a:rPr>
            <a:t>m(</a:t>
          </a:r>
          <a:r>
            <a:rPr lang="fr-FR" sz="1400" b="1">
              <a:solidFill>
                <a:srgbClr val="C00000"/>
              </a:solidFill>
            </a:rPr>
            <a:t>x</a:t>
          </a:r>
          <a:r>
            <a:rPr lang="cs-CZ" sz="1400" b="1">
              <a:solidFill>
                <a:srgbClr val="C00000"/>
              </a:solidFill>
            </a:rPr>
            <a:t>)</a:t>
          </a:r>
          <a:r>
            <a:rPr lang="fr-FR" sz="1400" b="1">
              <a:solidFill>
                <a:srgbClr val="C00000"/>
              </a:solidFill>
            </a:rPr>
            <a:t>-</a:t>
          </a:r>
          <a:r>
            <a:rPr lang="el-GR" sz="1400" b="1">
              <a:solidFill>
                <a:srgbClr val="C00000"/>
              </a:solidFill>
            </a:rPr>
            <a:t>α</a:t>
          </a:r>
          <a:r>
            <a:rPr lang="fr-FR" sz="1400" b="1">
              <a:solidFill>
                <a:srgbClr val="C00000"/>
              </a:solidFill>
            </a:rPr>
            <a:t>]</a:t>
          </a:r>
          <a:r>
            <a:rPr lang="cs-CZ" sz="1400" b="1">
              <a:solidFill>
                <a:srgbClr val="C00000"/>
              </a:solidFill>
            </a:rPr>
            <a:t>/</a:t>
          </a:r>
          <a:r>
            <a:rPr lang="cs-CZ" sz="1400" b="1">
              <a:solidFill>
                <a:srgbClr val="C00000"/>
              </a:solidFill>
              <a:sym typeface="Symbol"/>
            </a:rPr>
            <a:t> </a:t>
          </a:r>
          <a:r>
            <a:rPr lang="cs-CZ" sz="1400" b="1" baseline="30000">
              <a:solidFill>
                <a:srgbClr val="C00000"/>
              </a:solidFill>
              <a:sym typeface="Symbol"/>
            </a:rPr>
            <a:t>2</a:t>
          </a:r>
          <a:r>
            <a:rPr lang="cs-CZ" sz="1400" b="1">
              <a:solidFill>
                <a:srgbClr val="C00000"/>
              </a:solidFill>
            </a:rPr>
            <a:t>(</a:t>
          </a:r>
          <a:r>
            <a:rPr lang="fr-FR" sz="1400" b="1">
              <a:solidFill>
                <a:srgbClr val="C00000"/>
              </a:solidFill>
            </a:rPr>
            <a:t>x</a:t>
          </a:r>
          <a:r>
            <a:rPr lang="cs-CZ" sz="1400" b="1">
              <a:solidFill>
                <a:srgbClr val="C00000"/>
              </a:solidFill>
            </a:rPr>
            <a:t>)               </a:t>
          </a:r>
        </a:p>
      </xdr:txBody>
    </xdr:sp>
    <xdr:clientData/>
  </xdr:twoCellAnchor>
  <xdr:twoCellAnchor>
    <xdr:from>
      <xdr:col>0</xdr:col>
      <xdr:colOff>419331</xdr:colOff>
      <xdr:row>22</xdr:row>
      <xdr:rowOff>75968</xdr:rowOff>
    </xdr:from>
    <xdr:to>
      <xdr:col>4</xdr:col>
      <xdr:colOff>167409</xdr:colOff>
      <xdr:row>24</xdr:row>
      <xdr:rowOff>121227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331" y="3758968"/>
          <a:ext cx="2218805" cy="380077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1400" b="1">
              <a:solidFill>
                <a:srgbClr val="C00000"/>
              </a:solidFill>
            </a:rPr>
            <a:t>a=</a:t>
          </a:r>
          <a:r>
            <a:rPr lang="fr-FR" sz="1400" b="1">
              <a:solidFill>
                <a:srgbClr val="C00000"/>
              </a:solidFill>
            </a:rPr>
            <a:t>[</a:t>
          </a:r>
          <a:r>
            <a:rPr lang="cs-CZ" sz="1400" b="1">
              <a:solidFill>
                <a:srgbClr val="C00000"/>
              </a:solidFill>
            </a:rPr>
            <a:t>m(</a:t>
          </a:r>
          <a:r>
            <a:rPr lang="fr-FR" sz="1400" b="1">
              <a:solidFill>
                <a:srgbClr val="C00000"/>
              </a:solidFill>
            </a:rPr>
            <a:t>x</a:t>
          </a:r>
          <a:r>
            <a:rPr lang="cs-CZ" sz="1400" b="1">
              <a:solidFill>
                <a:srgbClr val="C00000"/>
              </a:solidFill>
            </a:rPr>
            <a:t>)</a:t>
          </a:r>
          <a:r>
            <a:rPr lang="fr-FR" sz="1400" b="1">
              <a:solidFill>
                <a:srgbClr val="C00000"/>
              </a:solidFill>
            </a:rPr>
            <a:t> –</a:t>
          </a:r>
          <a:r>
            <a:rPr lang="el-GR" sz="1400" b="1">
              <a:solidFill>
                <a:srgbClr val="C00000"/>
              </a:solidFill>
            </a:rPr>
            <a:t>α</a:t>
          </a:r>
          <a:r>
            <a:rPr lang="fr-FR" sz="1400" b="1">
              <a:solidFill>
                <a:srgbClr val="C00000"/>
              </a:solidFill>
            </a:rPr>
            <a:t>]</a:t>
          </a:r>
          <a:r>
            <a:rPr lang="fr-FR" sz="1400" b="1" baseline="30000">
              <a:solidFill>
                <a:srgbClr val="C00000"/>
              </a:solidFill>
            </a:rPr>
            <a:t>2</a:t>
          </a:r>
          <a:r>
            <a:rPr lang="cs-CZ" sz="1400" b="1">
              <a:solidFill>
                <a:srgbClr val="C00000"/>
              </a:solidFill>
            </a:rPr>
            <a:t>/</a:t>
          </a:r>
          <a:r>
            <a:rPr lang="cs-CZ" sz="1400" b="1">
              <a:solidFill>
                <a:srgbClr val="C00000"/>
              </a:solidFill>
              <a:sym typeface="Symbol"/>
            </a:rPr>
            <a:t></a:t>
          </a:r>
          <a:r>
            <a:rPr lang="cs-CZ" sz="1400" b="1" baseline="30000">
              <a:solidFill>
                <a:srgbClr val="C00000"/>
              </a:solidFill>
              <a:sym typeface="Symbol"/>
            </a:rPr>
            <a:t>2</a:t>
          </a:r>
          <a:r>
            <a:rPr lang="fr-FR" sz="1400" b="1">
              <a:solidFill>
                <a:srgbClr val="C00000"/>
              </a:solidFill>
              <a:sym typeface="Symbol"/>
            </a:rPr>
            <a:t>(x</a:t>
          </a:r>
          <a:r>
            <a:rPr lang="cs-CZ" sz="1400" b="1">
              <a:solidFill>
                <a:srgbClr val="C00000"/>
              </a:solidFill>
            </a:rPr>
            <a:t>)</a:t>
          </a:r>
          <a:endParaRPr lang="fr-FR" sz="1400" b="1"/>
        </a:p>
      </xdr:txBody>
    </xdr:sp>
    <xdr:clientData/>
  </xdr:twoCellAnchor>
  <xdr:twoCellAnchor>
    <xdr:from>
      <xdr:col>0</xdr:col>
      <xdr:colOff>257464</xdr:colOff>
      <xdr:row>34</xdr:row>
      <xdr:rowOff>77353</xdr:rowOff>
    </xdr:from>
    <xdr:to>
      <xdr:col>4</xdr:col>
      <xdr:colOff>161636</xdr:colOff>
      <xdr:row>37</xdr:row>
      <xdr:rowOff>121226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7464" y="5769262"/>
          <a:ext cx="2374899" cy="598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200">
              <a:solidFill>
                <a:srgbClr val="C00000"/>
              </a:solidFill>
              <a:sym typeface="Symbol"/>
            </a:rPr>
            <a:t>m(x) âge moyen à la maternité</a:t>
          </a:r>
        </a:p>
        <a:p>
          <a:r>
            <a:rPr lang="cs-CZ" sz="1200">
              <a:solidFill>
                <a:srgbClr val="C00000"/>
              </a:solidFill>
              <a:sym typeface="Symbol"/>
            </a:rPr>
            <a:t></a:t>
          </a:r>
          <a:r>
            <a:rPr lang="cs-CZ" sz="1200" baseline="30000">
              <a:solidFill>
                <a:srgbClr val="C00000"/>
              </a:solidFill>
              <a:sym typeface="Symbol"/>
            </a:rPr>
            <a:t>2</a:t>
          </a:r>
          <a:r>
            <a:rPr lang="cs-CZ" sz="1200">
              <a:solidFill>
                <a:srgbClr val="C00000"/>
              </a:solidFill>
              <a:sym typeface="Symbol"/>
            </a:rPr>
            <a:t>(x)</a:t>
          </a:r>
          <a:r>
            <a:rPr lang="fr-FR" sz="1200">
              <a:solidFill>
                <a:srgbClr val="C00000"/>
              </a:solidFill>
              <a:sym typeface="Symbol"/>
            </a:rPr>
            <a:t> variance de l’âge de fécondité</a:t>
          </a:r>
          <a:r>
            <a:rPr lang="cs-CZ" sz="1200">
              <a:solidFill>
                <a:srgbClr val="C00000"/>
              </a:solidFill>
              <a:sym typeface="Symbol"/>
            </a:rPr>
            <a:t> </a:t>
          </a:r>
          <a:endParaRPr lang="cs-CZ" sz="1200">
            <a:solidFill>
              <a:srgbClr val="C00000"/>
            </a:solidFill>
          </a:endParaRPr>
        </a:p>
      </xdr:txBody>
    </xdr:sp>
    <xdr:clientData/>
  </xdr:twoCellAnchor>
  <xdr:twoCellAnchor>
    <xdr:from>
      <xdr:col>4</xdr:col>
      <xdr:colOff>423719</xdr:colOff>
      <xdr:row>34</xdr:row>
      <xdr:rowOff>29556</xdr:rowOff>
    </xdr:from>
    <xdr:to>
      <xdr:col>7</xdr:col>
      <xdr:colOff>155864</xdr:colOff>
      <xdr:row>37</xdr:row>
      <xdr:rowOff>130399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894446" y="5721465"/>
          <a:ext cx="1937327" cy="65502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200" i="1">
              <a:solidFill>
                <a:srgbClr val="C00000"/>
              </a:solidFill>
              <a:latin typeface="Calibri" pitchFamily="34" charset="0"/>
            </a:rPr>
            <a:t>x</a:t>
          </a:r>
          <a:r>
            <a:rPr lang="fr-FR" sz="1200">
              <a:solidFill>
                <a:srgbClr val="C00000"/>
              </a:solidFill>
              <a:latin typeface="Calibri" pitchFamily="34" charset="0"/>
            </a:rPr>
            <a:t> – âge de fécondité</a:t>
          </a:r>
          <a:br>
            <a:rPr lang="fr-FR" sz="1200">
              <a:solidFill>
                <a:srgbClr val="C00000"/>
              </a:solidFill>
              <a:latin typeface="Calibri" pitchFamily="34" charset="0"/>
            </a:rPr>
          </a:br>
          <a:r>
            <a:rPr lang="el-GR" sz="1200" i="1">
              <a:solidFill>
                <a:srgbClr val="C00000"/>
              </a:solidFill>
              <a:latin typeface="Calibri" pitchFamily="34" charset="0"/>
            </a:rPr>
            <a:t>α</a:t>
          </a:r>
          <a:r>
            <a:rPr lang="fr-FR" sz="1200">
              <a:solidFill>
                <a:srgbClr val="C00000"/>
              </a:solidFill>
              <a:latin typeface="Calibri" pitchFamily="34" charset="0"/>
            </a:rPr>
            <a:t> – âge initial de fécondité </a:t>
          </a:r>
        </a:p>
        <a:p>
          <a:r>
            <a:rPr lang="el-GR" sz="1200" i="1">
              <a:solidFill>
                <a:srgbClr val="C00000"/>
              </a:solidFill>
              <a:latin typeface="Calibri" pitchFamily="34" charset="0"/>
            </a:rPr>
            <a:t>β</a:t>
          </a:r>
          <a:r>
            <a:rPr lang="fr-FR" sz="1200">
              <a:solidFill>
                <a:srgbClr val="C00000"/>
              </a:solidFill>
              <a:latin typeface="Calibri" pitchFamily="34" charset="0"/>
            </a:rPr>
            <a:t> – âge final de fécondité</a:t>
          </a:r>
          <a:endParaRPr lang="el-GR" sz="1200">
            <a:solidFill>
              <a:srgbClr val="C00000"/>
            </a:solidFill>
            <a:latin typeface="Calibri" pitchFamily="34" charset="0"/>
          </a:endParaRPr>
        </a:p>
      </xdr:txBody>
    </xdr:sp>
    <xdr:clientData/>
  </xdr:twoCellAnchor>
  <xdr:twoCellAnchor>
    <xdr:from>
      <xdr:col>7</xdr:col>
      <xdr:colOff>449696</xdr:colOff>
      <xdr:row>24</xdr:row>
      <xdr:rowOff>155863</xdr:rowOff>
    </xdr:from>
    <xdr:to>
      <xdr:col>15</xdr:col>
      <xdr:colOff>285750</xdr:colOff>
      <xdr:row>42</xdr:row>
      <xdr:rowOff>184726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112157</xdr:colOff>
      <xdr:row>28</xdr:row>
      <xdr:rowOff>41728</xdr:rowOff>
    </xdr:from>
    <xdr:to>
      <xdr:col>6</xdr:col>
      <xdr:colOff>472541</xdr:colOff>
      <xdr:row>31</xdr:row>
      <xdr:rowOff>97148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Objet 2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729839" y="4729183"/>
              <a:ext cx="3570020" cy="557647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 w="28575">
              <a:solidFill>
                <a:schemeClr val="accent2">
                  <a:lumMod val="75000"/>
                </a:schemeClr>
              </a:solidFill>
            </a:ln>
          </xdr:spPr>
          <xdr:txBody>
            <a:bodyPr vertOverflow="clip" horzOverflow="clip" wrap="square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𝑓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(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𝑥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)=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𝐹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(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𝛽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)⋅</m:t>
                    </m:r>
                    <m:f>
                      <m:fPr>
                        <m:ctrlP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fr-FR" sz="14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4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𝜆</m:t>
                            </m:r>
                          </m:e>
                          <m:sup>
                            <m:r>
                              <a:rPr lang="fr-FR" sz="14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𝑎</m:t>
                            </m:r>
                          </m:sup>
                        </m:sSup>
                      </m:num>
                      <m:den>
                        <m:r>
                          <m:rPr>
                            <m:sty m:val="p"/>
                          </m:rP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Γ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𝑎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⋅(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𝑥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𝛼</m:t>
                    </m:r>
                    <m:sSup>
                      <m:sSupPr>
                        <m:ctrlP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𝑎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−1</m:t>
                        </m:r>
                      </m:sup>
                    </m:sSup>
                    <m:r>
                      <a:rPr lang="fr-FR" sz="14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⋅</m:t>
                    </m:r>
                    <m:sSup>
                      <m:sSupPr>
                        <m:ctrlP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𝑒</m:t>
                        </m:r>
                      </m:e>
                      <m:sup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𝜆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⋅(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𝑥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𝛼</m:t>
                        </m:r>
                        <m:r>
                          <a:rPr lang="fr-FR" sz="14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sup>
                    </m:sSup>
                  </m:oMath>
                </m:oMathPara>
              </a14:m>
              <a:endParaRPr lang="fr-FR" sz="1400"/>
            </a:p>
          </xdr:txBody>
        </xdr:sp>
      </mc:Choice>
      <mc:Fallback>
        <xdr:sp macro="" textlink="">
          <xdr:nvSpPr>
            <xdr:cNvPr id="6" name="Objet 2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729839" y="4729183"/>
              <a:ext cx="3570020" cy="557647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 w="28575">
              <a:solidFill>
                <a:schemeClr val="accent2">
                  <a:lumMod val="75000"/>
                </a:schemeClr>
              </a:solidFill>
            </a:ln>
          </xdr:spPr>
          <xdr:txBody>
            <a:bodyPr vertOverflow="clip" horzOverflow="clip" wrap="square">
              <a:spAutoFit/>
            </a:bodyPr>
            <a:lstStyle/>
            <a:p>
              <a:pPr/>
              <a:r>
                <a:rPr lang="fr-FR" sz="1400" i="0">
                  <a:solidFill>
                    <a:srgbClr val="000000"/>
                  </a:solidFill>
                  <a:latin typeface="Cambria Math" panose="02040503050406030204" pitchFamily="18" charset="0"/>
                </a:rPr>
                <a:t>𝑓(𝑥)=𝐹(𝛽)⋅𝜆^𝑎/(Γ(𝑎))⋅(𝑥−𝛼)^(𝑎−1)⋅𝑒^(−𝜆⋅(𝑥−𝛼))</a:t>
              </a:r>
              <a:endParaRPr lang="fr-FR" sz="1400"/>
            </a:p>
          </xdr:txBody>
        </xdr:sp>
      </mc:Fallback>
    </mc:AlternateContent>
    <xdr:clientData/>
  </xdr:twoCellAnchor>
  <xdr:twoCellAnchor>
    <xdr:from>
      <xdr:col>16</xdr:col>
      <xdr:colOff>0</xdr:colOff>
      <xdr:row>25</xdr:row>
      <xdr:rowOff>0</xdr:rowOff>
    </xdr:from>
    <xdr:to>
      <xdr:col>23</xdr:col>
      <xdr:colOff>465281</xdr:colOff>
      <xdr:row>43</xdr:row>
      <xdr:rowOff>11545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6AD6C6EE-F156-489D-8F11-BA06D3CF5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4</xdr:row>
      <xdr:rowOff>0</xdr:rowOff>
    </xdr:from>
    <xdr:to>
      <xdr:col>25</xdr:col>
      <xdr:colOff>465282</xdr:colOff>
      <xdr:row>23</xdr:row>
      <xdr:rowOff>5772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46B2D7B7-C949-4101-8FB6-2B11A8FF8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746760</xdr:colOff>
      <xdr:row>1</xdr:row>
      <xdr:rowOff>137160</xdr:rowOff>
    </xdr:from>
    <xdr:to>
      <xdr:col>13</xdr:col>
      <xdr:colOff>638175</xdr:colOff>
      <xdr:row>27</xdr:row>
      <xdr:rowOff>12383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594360</xdr:colOff>
      <xdr:row>33</xdr:row>
      <xdr:rowOff>68580</xdr:rowOff>
    </xdr:from>
    <xdr:to>
      <xdr:col>16</xdr:col>
      <xdr:colOff>495300</xdr:colOff>
      <xdr:row>42</xdr:row>
      <xdr:rowOff>99447</xdr:rowOff>
    </xdr:to>
    <xdr:sp macro="" textlink="">
      <xdr:nvSpPr>
        <xdr:cNvPr id="3" name="TextBox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135189" y="5282837"/>
          <a:ext cx="7161711" cy="14732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</a:pPr>
          <a:r>
            <a:rPr lang="cs-CZ" sz="2000" b="1">
              <a:solidFill>
                <a:srgbClr val="C00000"/>
              </a:solidFill>
            </a:rPr>
            <a:t>a= {[(1-m(X)]*m(X)^2}/s</a:t>
          </a:r>
          <a:r>
            <a:rPr lang="cs-CZ" sz="2000" b="1" baseline="30000">
              <a:solidFill>
                <a:srgbClr val="C00000"/>
              </a:solidFill>
            </a:rPr>
            <a:t>2</a:t>
          </a:r>
          <a:r>
            <a:rPr lang="cs-CZ" sz="2000" b="1">
              <a:solidFill>
                <a:srgbClr val="C00000"/>
              </a:solidFill>
            </a:rPr>
            <a:t>(X) – m(X); 	m(X) = [m(x)-15]/35</a:t>
          </a:r>
        </a:p>
        <a:p>
          <a:pPr>
            <a:lnSpc>
              <a:spcPct val="150000"/>
            </a:lnSpc>
          </a:pPr>
          <a:r>
            <a:rPr lang="cs-CZ" sz="2000" b="1">
              <a:solidFill>
                <a:srgbClr val="C00000"/>
              </a:solidFill>
              <a:sym typeface="Symbol"/>
            </a:rPr>
            <a:t>b=</a:t>
          </a:r>
          <a:r>
            <a:rPr lang="cs-CZ" sz="2000" b="1">
              <a:solidFill>
                <a:srgbClr val="C00000"/>
              </a:solidFill>
            </a:rPr>
            <a:t>{[(1-m(X)]^2*m(X)}/s</a:t>
          </a:r>
          <a:r>
            <a:rPr lang="cs-CZ" sz="2000" b="1" baseline="30000">
              <a:solidFill>
                <a:srgbClr val="C00000"/>
              </a:solidFill>
            </a:rPr>
            <a:t>2</a:t>
          </a:r>
          <a:r>
            <a:rPr lang="cs-CZ" sz="2000" b="1">
              <a:solidFill>
                <a:srgbClr val="C00000"/>
              </a:solidFill>
            </a:rPr>
            <a:t>(X) – [1-m(X)]	 s</a:t>
          </a:r>
          <a:r>
            <a:rPr lang="cs-CZ" sz="2000" b="1" baseline="30000">
              <a:solidFill>
                <a:srgbClr val="C00000"/>
              </a:solidFill>
            </a:rPr>
            <a:t>2</a:t>
          </a:r>
          <a:r>
            <a:rPr lang="cs-CZ" sz="2000" b="1">
              <a:solidFill>
                <a:srgbClr val="C00000"/>
              </a:solidFill>
            </a:rPr>
            <a:t>(X)=</a:t>
          </a:r>
          <a:r>
            <a:rPr lang="cs-CZ" sz="2000" b="1">
              <a:solidFill>
                <a:srgbClr val="C00000"/>
              </a:solidFill>
              <a:sym typeface="Symbol"/>
            </a:rPr>
            <a:t></a:t>
          </a:r>
          <a:r>
            <a:rPr lang="cs-CZ" sz="2000" b="1" baseline="30000">
              <a:solidFill>
                <a:srgbClr val="C00000"/>
              </a:solidFill>
              <a:sym typeface="Symbol"/>
            </a:rPr>
            <a:t>2</a:t>
          </a:r>
          <a:r>
            <a:rPr lang="cs-CZ" sz="2000" b="1">
              <a:solidFill>
                <a:srgbClr val="C00000"/>
              </a:solidFill>
              <a:sym typeface="Symbol"/>
            </a:rPr>
            <a:t>(x)/35^2</a:t>
          </a:r>
        </a:p>
        <a:p>
          <a:pPr>
            <a:lnSpc>
              <a:spcPct val="150000"/>
            </a:lnSpc>
          </a:pPr>
          <a:r>
            <a:rPr lang="cs-CZ" sz="2000" b="1">
              <a:solidFill>
                <a:srgbClr val="C00000"/>
              </a:solidFill>
            </a:rPr>
            <a:t>         </a:t>
          </a:r>
        </a:p>
      </xdr:txBody>
    </xdr:sp>
    <xdr:clientData/>
  </xdr:twoCellAnchor>
  <xdr:twoCellAnchor>
    <xdr:from>
      <xdr:col>8</xdr:col>
      <xdr:colOff>213360</xdr:colOff>
      <xdr:row>54</xdr:row>
      <xdr:rowOff>114300</xdr:rowOff>
    </xdr:from>
    <xdr:to>
      <xdr:col>14</xdr:col>
      <xdr:colOff>194310</xdr:colOff>
      <xdr:row>71</xdr:row>
      <xdr:rowOff>85725</xdr:rowOff>
    </xdr:to>
    <xdr:graphicFrame macro="">
      <xdr:nvGraphicFramePr>
        <xdr:cNvPr id="4" name="Graphique 1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698500</xdr:colOff>
          <xdr:row>74</xdr:row>
          <xdr:rowOff>19050</xdr:rowOff>
        </xdr:from>
        <xdr:to>
          <xdr:col>16</xdr:col>
          <xdr:colOff>476250</xdr:colOff>
          <xdr:row>79</xdr:row>
          <xdr:rowOff>101600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CD5B5"/>
            </a:solidFill>
          </xdr:spPr>
        </xdr:sp>
        <xdr:clientData/>
      </xdr:twoCellAnchor>
    </mc:Choice>
    <mc:Fallback/>
  </mc:AlternateContent>
  <xdr:twoCellAnchor>
    <xdr:from>
      <xdr:col>7</xdr:col>
      <xdr:colOff>0</xdr:colOff>
      <xdr:row>28</xdr:row>
      <xdr:rowOff>38100</xdr:rowOff>
    </xdr:from>
    <xdr:to>
      <xdr:col>13</xdr:col>
      <xdr:colOff>549000</xdr:colOff>
      <xdr:row>32</xdr:row>
      <xdr:rowOff>116347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Object 7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6346371" y="4463143"/>
              <a:ext cx="5393143" cy="709618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 w="28575">
              <a:solidFill>
                <a:schemeClr val="accent2">
                  <a:lumMod val="75000"/>
                </a:schemeClr>
              </a:solidFill>
            </a:ln>
          </xdr:spPr>
          <xdr:txBody>
            <a:bodyPr vertOverflow="clip" horzOverflow="clip" wrap="none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𝑓</m:t>
                    </m:r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(</m:t>
                    </m:r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𝑥</m:t>
                    </m:r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)=</m:t>
                    </m:r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𝐹</m:t>
                    </m:r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(</m:t>
                    </m:r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𝛽</m:t>
                    </m:r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)⋅</m:t>
                    </m:r>
                    <m:f>
                      <m:fPr>
                        <m:ctrlP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Γ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𝑎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𝑏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Γ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𝑎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)⋅</m:t>
                        </m:r>
                        <m:r>
                          <m:rPr>
                            <m:sty m:val="p"/>
                          </m:rP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Γ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𝑏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  <m:r>
                      <a:rPr lang="fr-FR" sz="18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⋅</m:t>
                    </m:r>
                    <m:f>
                      <m:fPr>
                        <m:ctrlP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𝑥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𝛼</m:t>
                        </m:r>
                        <m:sSup>
                          <m:sSupPr>
                            <m:ctrlP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𝑎</m:t>
                            </m:r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p>
                        </m:sSup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⋅(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𝛽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𝑥</m:t>
                        </m:r>
                        <m:sSup>
                          <m:sSupPr>
                            <m:ctrlP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⋅(</m:t>
                            </m:r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𝑏</m:t>
                            </m:r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−1)</m:t>
                            </m:r>
                          </m:sup>
                        </m:sSup>
                      </m:num>
                      <m:den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𝛽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8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𝛼</m:t>
                        </m:r>
                        <m:sSup>
                          <m:sSupPr>
                            <m:ctrlP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𝑎</m:t>
                            </m:r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𝑏</m:t>
                            </m:r>
                            <m:r>
                              <a:rPr lang="fr-FR" sz="18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fr-FR"/>
            </a:p>
          </xdr:txBody>
        </xdr:sp>
      </mc:Choice>
      <mc:Fallback xmlns="">
        <xdr:sp macro="" textlink="">
          <xdr:nvSpPr>
            <xdr:cNvPr id="5" name="Object 7">
              <a:extLst>
                <a:ext uri="{63B3BB69-23CF-44E3-9099-C40C66FF867C}">
                  <a14:compatExt xmlns:a14="http://schemas.microsoft.com/office/drawing/2010/main"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 txBox="1"/>
          </xdr:nvSpPr>
          <xdr:spPr>
            <a:xfrm>
              <a:off x="6346371" y="4463143"/>
              <a:ext cx="5393143" cy="709618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 w="28575">
              <a:solidFill>
                <a:schemeClr val="accent2">
                  <a:lumMod val="75000"/>
                </a:schemeClr>
              </a:solidFill>
            </a:ln>
          </xdr:spPr>
          <xdr:txBody>
            <a:bodyPr vertOverflow="clip" horzOverflow="clip" wrap="none">
              <a:spAutoFit/>
            </a:bodyPr>
            <a:lstStyle/>
            <a:p>
              <a:pPr/>
              <a:r>
                <a:rPr lang="fr-FR" sz="1800" i="0">
                  <a:solidFill>
                    <a:srgbClr val="000000"/>
                  </a:solidFill>
                  <a:latin typeface="Cambria Math" panose="02040503050406030204" pitchFamily="18" charset="0"/>
                </a:rPr>
                <a:t>𝑓(𝑥)=𝐹(𝛽)⋅(Γ(𝑎+𝑏))/(Γ(𝑎)⋅Γ(𝑏))⋅((𝑥−𝛼)^(𝑎−1)⋅(𝛽−𝑥)^(⋅(𝑏−1)))/((𝛽−𝛼)^(𝑎+𝑏−1) )</a:t>
              </a:r>
              <a:endParaRPr lang="fr-FR"/>
            </a:p>
          </xdr:txBody>
        </xdr:sp>
      </mc:Fallback>
    </mc:AlternateContent>
    <xdr:clientData/>
  </xdr:twoCellAnchor>
  <xdr:twoCellAnchor>
    <xdr:from>
      <xdr:col>16</xdr:col>
      <xdr:colOff>220435</xdr:colOff>
      <xdr:row>40</xdr:row>
      <xdr:rowOff>3628</xdr:rowOff>
    </xdr:from>
    <xdr:to>
      <xdr:col>21</xdr:col>
      <xdr:colOff>622300</xdr:colOff>
      <xdr:row>56</xdr:row>
      <xdr:rowOff>143328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0.14519</cdr:x>
      <cdr:y>0.05588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0"/>
          <a:ext cx="7620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anose="020B0604020202020204" pitchFamily="34" charset="0"/>
              <a:cs typeface="Arial" panose="020B0604020202020204" pitchFamily="34" charset="0"/>
            </a:rPr>
            <a:t>f</a:t>
          </a:r>
          <a:r>
            <a:rPr lang="cs-CZ" sz="1100" b="1" baseline="-25000">
              <a:latin typeface="Arial" panose="020B0604020202020204" pitchFamily="34" charset="0"/>
              <a:cs typeface="Arial" panose="020B0604020202020204" pitchFamily="34" charset="0"/>
            </a:rPr>
            <a:t>x</a:t>
          </a:r>
        </a:p>
        <a:p xmlns:a="http://schemas.openxmlformats.org/drawingml/2006/main">
          <a:endParaRPr lang="cs-CZ" sz="11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0.88574</cdr:x>
      <cdr:y>0.92316</cdr:y>
    </cdr:from>
    <cdr:to>
      <cdr:x>0.98012</cdr:x>
      <cdr:y>0.98137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636801" y="3771348"/>
          <a:ext cx="494074" cy="2378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âge</a:t>
          </a:r>
          <a:endParaRPr lang="cs-CZ" sz="11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0.32026</cdr:x>
      <cdr:y>0.01243</cdr:y>
    </cdr:from>
    <cdr:to>
      <cdr:x>0.69077</cdr:x>
      <cdr:y>0.0684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679575" y="50800"/>
          <a:ext cx="1943146" cy="228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Taux de fécondité par âge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0.02917</cdr:x>
      <cdr:y>0</cdr:y>
    </cdr:from>
    <cdr:to>
      <cdr:x>0.12292</cdr:x>
      <cdr:y>0.0816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3350" y="0"/>
          <a:ext cx="428625" cy="223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fx</a:t>
          </a:r>
        </a:p>
      </cdr:txBody>
    </cdr:sp>
  </cdr:relSizeAnchor>
  <cdr:relSizeAnchor xmlns:cdr="http://schemas.openxmlformats.org/drawingml/2006/chartDrawing">
    <cdr:from>
      <cdr:x>0.79792</cdr:x>
      <cdr:y>0.89757</cdr:y>
    </cdr:from>
    <cdr:to>
      <cdr:x>0.9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648075" y="2462213"/>
          <a:ext cx="466725" cy="280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000" b="1">
              <a:latin typeface="Arial" pitchFamily="34" charset="0"/>
              <a:cs typeface="Arial" pitchFamily="34" charset="0"/>
            </a:rPr>
            <a:t>âge</a:t>
          </a:r>
        </a:p>
      </cdr:txBody>
    </cdr:sp>
  </cdr:relSizeAnchor>
  <cdr:relSizeAnchor xmlns:cdr="http://schemas.openxmlformats.org/drawingml/2006/chartDrawing">
    <cdr:from>
      <cdr:x>0.26115</cdr:x>
      <cdr:y>0</cdr:y>
    </cdr:from>
    <cdr:to>
      <cdr:x>0.6871</cdr:x>
      <cdr:y>0.08309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226820" y="0"/>
          <a:ext cx="2001004" cy="2369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Taux de fécondité par âge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image" Target="../media/image1.emf"/><Relationship Id="rId2" Type="http://schemas.openxmlformats.org/officeDocument/2006/relationships/hyperlink" Target="http://www.miniwebtool.com/gamma-function-calculator/?number=6.7851" TargetMode="External"/><Relationship Id="rId1" Type="http://schemas.openxmlformats.org/officeDocument/2006/relationships/hyperlink" Target="http://www.danielsoper.com/statcalc3/calc.aspx?id=30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zoomScale="110" zoomScaleNormal="110" workbookViewId="0">
      <selection activeCell="Q23" sqref="Q23"/>
    </sheetView>
  </sheetViews>
  <sheetFormatPr baseColWidth="10" defaultColWidth="8.81640625" defaultRowHeight="13" x14ac:dyDescent="0.3"/>
  <cols>
    <col min="1" max="4" width="8.81640625" style="5"/>
    <col min="5" max="5" width="10.54296875" style="5" bestFit="1" customWidth="1"/>
    <col min="6" max="6" width="8.81640625" style="5"/>
    <col min="7" max="7" width="12.1796875" style="5" bestFit="1" customWidth="1"/>
    <col min="8" max="8" width="9" style="5" bestFit="1" customWidth="1"/>
    <col min="9" max="16384" width="8.81640625" style="5"/>
  </cols>
  <sheetData>
    <row r="1" spans="1:17" x14ac:dyDescent="0.3">
      <c r="A1" s="3">
        <v>2014</v>
      </c>
      <c r="B1" s="4" t="s">
        <v>0</v>
      </c>
      <c r="F1" s="5" t="s">
        <v>69</v>
      </c>
      <c r="K1" s="5" t="s">
        <v>68</v>
      </c>
    </row>
    <row r="2" spans="1:17" x14ac:dyDescent="0.3">
      <c r="K2" s="5" t="s">
        <v>75</v>
      </c>
    </row>
    <row r="3" spans="1:17" ht="15" x14ac:dyDescent="0.4">
      <c r="A3" s="6" t="s">
        <v>1</v>
      </c>
      <c r="B3" s="6" t="s">
        <v>2</v>
      </c>
      <c r="C3" s="5" t="s">
        <v>3</v>
      </c>
      <c r="H3" s="8" t="s">
        <v>71</v>
      </c>
      <c r="I3" s="8"/>
      <c r="K3" s="5" t="s">
        <v>27</v>
      </c>
      <c r="L3" s="65" t="s">
        <v>70</v>
      </c>
      <c r="M3" s="65" t="s">
        <v>73</v>
      </c>
      <c r="P3" s="5" t="s">
        <v>71</v>
      </c>
    </row>
    <row r="4" spans="1:17" ht="15" x14ac:dyDescent="0.4">
      <c r="A4" s="6" t="s">
        <v>4</v>
      </c>
      <c r="B4" s="6" t="s">
        <v>28</v>
      </c>
      <c r="C4" s="6" t="s">
        <v>5</v>
      </c>
      <c r="D4" s="6" t="s">
        <v>62</v>
      </c>
      <c r="E4" s="6" t="s">
        <v>6</v>
      </c>
      <c r="F4" s="9" t="s">
        <v>27</v>
      </c>
      <c r="G4" s="10" t="s">
        <v>8</v>
      </c>
      <c r="H4" s="11" t="s">
        <v>7</v>
      </c>
      <c r="I4" s="7" t="s">
        <v>8</v>
      </c>
      <c r="K4" s="5" t="s">
        <v>74</v>
      </c>
      <c r="L4" s="65" t="s">
        <v>72</v>
      </c>
      <c r="N4" s="5" t="s">
        <v>27</v>
      </c>
    </row>
    <row r="5" spans="1:17" x14ac:dyDescent="0.3">
      <c r="A5" s="12" t="s">
        <v>9</v>
      </c>
      <c r="B5" s="5">
        <v>3.082E-2</v>
      </c>
      <c r="C5" s="5">
        <v>16.5</v>
      </c>
      <c r="D5" s="5">
        <f>C5^2</f>
        <v>272.25</v>
      </c>
      <c r="E5" s="5">
        <v>3</v>
      </c>
      <c r="F5" s="14">
        <f>E5*$B$19*$G$23^$G$22/$G$24*(C5-$G$26)^($G$22-1)*EXP(-$G$23*(C5-$G$26))</f>
        <v>4.5939372896292002E-3</v>
      </c>
      <c r="G5" s="10">
        <v>3.082E-2</v>
      </c>
      <c r="H5" s="15">
        <f t="shared" ref="H5:H18" si="0">F5/E5</f>
        <v>1.5313124298764001E-3</v>
      </c>
      <c r="I5" s="15">
        <f t="shared" ref="I5:I18" si="1">G5/E5</f>
        <v>1.0273333333333334E-2</v>
      </c>
      <c r="K5" s="20">
        <f>$B$19*E5*_xlfn.GAMMA.DIST((C5-$G$26),$G$22,1/$G$23,FALSE)</f>
        <v>4.5939372896292002E-3</v>
      </c>
      <c r="L5" s="5">
        <v>18</v>
      </c>
      <c r="M5" s="5">
        <f>L5^2</f>
        <v>324</v>
      </c>
      <c r="N5" s="20">
        <f>$B$19*E5*_xlfn.GAMMA.DIST((L5-$G$26),$O$21,1/$O$22,FALSE)</f>
        <v>4.7088354207840369E-2</v>
      </c>
      <c r="P5" s="5">
        <f>K5/E5</f>
        <v>1.5313124298764001E-3</v>
      </c>
      <c r="Q5" s="5">
        <f>N5/E5</f>
        <v>1.5696118069280122E-2</v>
      </c>
    </row>
    <row r="6" spans="1:17" x14ac:dyDescent="0.3">
      <c r="A6" s="12" t="s">
        <v>10</v>
      </c>
      <c r="B6" s="5">
        <v>0.10519000000000001</v>
      </c>
      <c r="C6" s="5">
        <v>19</v>
      </c>
      <c r="D6" s="5">
        <f t="shared" ref="D6:D18" si="2">C6^2</f>
        <v>361</v>
      </c>
      <c r="E6" s="5">
        <v>2</v>
      </c>
      <c r="F6" s="14">
        <f t="shared" ref="F5:F18" si="3">E6*$B$19*$G$23^$G$22/$G$24*(C6-$G$26)^($G$22-1)*EXP(-$G$23*(C6-$G$26))</f>
        <v>6.945778596575565E-2</v>
      </c>
      <c r="G6" s="10">
        <v>0.10519000000000001</v>
      </c>
      <c r="H6" s="15">
        <f t="shared" si="0"/>
        <v>3.4728892982877825E-2</v>
      </c>
      <c r="I6" s="15">
        <f t="shared" si="1"/>
        <v>5.2595000000000003E-2</v>
      </c>
      <c r="K6" s="20">
        <f t="shared" ref="K6:K18" si="4">$B$19*E6*_xlfn.GAMMA.DIST((C6-$G$26),$G$22,1/$G$23,FALSE)</f>
        <v>6.9457785965755664E-2</v>
      </c>
      <c r="L6" s="5">
        <v>20</v>
      </c>
      <c r="M6" s="5">
        <f t="shared" ref="M6:M18" si="5">L6^2</f>
        <v>400</v>
      </c>
      <c r="N6" s="20">
        <f t="shared" ref="N6:N18" si="6">$B$19*E6*_xlfn.GAMMA.DIST((L6-$G$26),$O$21,1/$O$22,FALSE)</f>
        <v>0.10297129795736423</v>
      </c>
      <c r="P6" s="5">
        <f t="shared" ref="P6:P18" si="7">K6/E6</f>
        <v>3.4728892982877832E-2</v>
      </c>
      <c r="Q6" s="5">
        <f>N6/E6</f>
        <v>5.1485648978682116E-2</v>
      </c>
    </row>
    <row r="7" spans="1:17" x14ac:dyDescent="0.3">
      <c r="A7" s="12" t="s">
        <v>11</v>
      </c>
      <c r="B7" s="5">
        <v>0.17732999999999999</v>
      </c>
      <c r="C7" s="5">
        <v>21</v>
      </c>
      <c r="D7" s="5">
        <f t="shared" si="2"/>
        <v>441</v>
      </c>
      <c r="E7" s="5">
        <v>2</v>
      </c>
      <c r="F7" s="14">
        <f t="shared" si="3"/>
        <v>0.17419136003212865</v>
      </c>
      <c r="G7" s="10">
        <v>0.17732999999999999</v>
      </c>
      <c r="H7" s="15">
        <f t="shared" si="0"/>
        <v>8.7095680016064325E-2</v>
      </c>
      <c r="I7" s="15">
        <f t="shared" si="1"/>
        <v>8.8664999999999994E-2</v>
      </c>
      <c r="K7" s="20">
        <f t="shared" si="4"/>
        <v>0.17419136003212893</v>
      </c>
      <c r="L7" s="5">
        <v>22</v>
      </c>
      <c r="M7" s="5">
        <f t="shared" si="5"/>
        <v>484</v>
      </c>
      <c r="N7" s="20">
        <f t="shared" si="6"/>
        <v>0.18347953161903968</v>
      </c>
      <c r="P7" s="5">
        <f t="shared" si="7"/>
        <v>8.7095680016064464E-2</v>
      </c>
      <c r="Q7" s="5">
        <f>N7/E7</f>
        <v>9.1739765809519841E-2</v>
      </c>
    </row>
    <row r="8" spans="1:17" x14ac:dyDescent="0.3">
      <c r="A8" s="12" t="s">
        <v>12</v>
      </c>
      <c r="B8" s="5">
        <v>0.22732999999999998</v>
      </c>
      <c r="C8" s="5">
        <v>23</v>
      </c>
      <c r="D8" s="5">
        <f t="shared" si="2"/>
        <v>529</v>
      </c>
      <c r="E8" s="5">
        <v>2</v>
      </c>
      <c r="F8" s="14">
        <f t="shared" si="3"/>
        <v>0.26761046155287005</v>
      </c>
      <c r="G8" s="10">
        <v>0.22732999999999998</v>
      </c>
      <c r="H8" s="15">
        <f t="shared" si="0"/>
        <v>0.13380523077643502</v>
      </c>
      <c r="I8" s="15">
        <f t="shared" si="1"/>
        <v>0.11366499999999999</v>
      </c>
      <c r="K8" s="20">
        <f t="shared" si="4"/>
        <v>0.26761046155287033</v>
      </c>
      <c r="L8" s="5">
        <v>23.5</v>
      </c>
      <c r="M8" s="5">
        <f t="shared" si="5"/>
        <v>552.25</v>
      </c>
      <c r="N8" s="20">
        <f t="shared" si="6"/>
        <v>0.23082253476692779</v>
      </c>
      <c r="P8" s="5">
        <f t="shared" si="7"/>
        <v>0.13380523077643516</v>
      </c>
      <c r="Q8" s="5">
        <f>N8/E8</f>
        <v>0.1154112673834639</v>
      </c>
    </row>
    <row r="9" spans="1:17" x14ac:dyDescent="0.3">
      <c r="A9" s="12" t="s">
        <v>13</v>
      </c>
      <c r="B9" s="5">
        <v>0.26395999999999997</v>
      </c>
      <c r="C9" s="5">
        <v>25</v>
      </c>
      <c r="D9" s="5">
        <f t="shared" si="2"/>
        <v>625</v>
      </c>
      <c r="E9" s="5">
        <v>2</v>
      </c>
      <c r="F9" s="14">
        <f t="shared" si="3"/>
        <v>0.31431206950686197</v>
      </c>
      <c r="G9" s="10">
        <v>0.26395999999999997</v>
      </c>
      <c r="H9" s="15">
        <f t="shared" si="0"/>
        <v>0.15715603475343098</v>
      </c>
      <c r="I9" s="15">
        <f t="shared" si="1"/>
        <v>0.13197999999999999</v>
      </c>
      <c r="K9" s="20">
        <f t="shared" si="4"/>
        <v>0.31431206950686141</v>
      </c>
      <c r="L9" s="5">
        <v>25.5</v>
      </c>
      <c r="M9" s="5">
        <f t="shared" si="5"/>
        <v>650.25</v>
      </c>
      <c r="N9" s="20">
        <f t="shared" si="6"/>
        <v>0.2653981086185524</v>
      </c>
      <c r="P9" s="5">
        <f t="shared" si="7"/>
        <v>0.15715603475343071</v>
      </c>
      <c r="Q9" s="5">
        <f>N9/E9</f>
        <v>0.1326990543092762</v>
      </c>
    </row>
    <row r="10" spans="1:17" x14ac:dyDescent="0.3">
      <c r="A10" s="12" t="s">
        <v>14</v>
      </c>
      <c r="B10" s="5">
        <v>0.27622999999999998</v>
      </c>
      <c r="C10" s="5">
        <v>27</v>
      </c>
      <c r="D10" s="5">
        <f t="shared" si="2"/>
        <v>729</v>
      </c>
      <c r="E10" s="5">
        <v>2</v>
      </c>
      <c r="F10" s="14">
        <f t="shared" si="3"/>
        <v>0.31149804889307631</v>
      </c>
      <c r="G10" s="10">
        <v>0.27622999999999998</v>
      </c>
      <c r="H10" s="15">
        <f t="shared" si="0"/>
        <v>0.15574902444653815</v>
      </c>
      <c r="I10" s="15">
        <f t="shared" si="1"/>
        <v>0.13811499999999999</v>
      </c>
      <c r="K10" s="20">
        <f t="shared" si="4"/>
        <v>0.3114980488930762</v>
      </c>
      <c r="L10" s="5">
        <v>26.7</v>
      </c>
      <c r="M10" s="5">
        <f t="shared" si="5"/>
        <v>712.89</v>
      </c>
      <c r="N10" s="20">
        <f t="shared" si="6"/>
        <v>0.27042060456554451</v>
      </c>
      <c r="P10" s="5">
        <f t="shared" si="7"/>
        <v>0.1557490244465381</v>
      </c>
      <c r="Q10" s="5">
        <f>N10/E10</f>
        <v>0.13521030228277225</v>
      </c>
    </row>
    <row r="11" spans="1:17" x14ac:dyDescent="0.3">
      <c r="A11" s="12" t="s">
        <v>15</v>
      </c>
      <c r="B11" s="5">
        <v>0.26225999999999999</v>
      </c>
      <c r="C11" s="5">
        <v>29</v>
      </c>
      <c r="D11" s="5">
        <f t="shared" si="2"/>
        <v>841</v>
      </c>
      <c r="E11" s="5">
        <v>2</v>
      </c>
      <c r="F11" s="14">
        <f t="shared" si="3"/>
        <v>0.27456549900042809</v>
      </c>
      <c r="G11" s="10">
        <v>0.26225999999999999</v>
      </c>
      <c r="H11" s="15">
        <f t="shared" si="0"/>
        <v>0.13728274950021405</v>
      </c>
      <c r="I11" s="15">
        <f t="shared" si="1"/>
        <v>0.13113</v>
      </c>
      <c r="K11" s="20">
        <f t="shared" si="4"/>
        <v>0.27456549900042837</v>
      </c>
      <c r="L11" s="5">
        <v>28.5</v>
      </c>
      <c r="M11" s="5">
        <f t="shared" si="5"/>
        <v>812.25</v>
      </c>
      <c r="N11" s="20">
        <f t="shared" si="6"/>
        <v>0.26003896738013238</v>
      </c>
      <c r="P11" s="5">
        <f t="shared" si="7"/>
        <v>0.13728274950021419</v>
      </c>
      <c r="Q11" s="5">
        <f>N11/E11</f>
        <v>0.13001948369006619</v>
      </c>
    </row>
    <row r="12" spans="1:17" x14ac:dyDescent="0.3">
      <c r="A12" s="12" t="s">
        <v>16</v>
      </c>
      <c r="B12" s="5">
        <v>0.22985</v>
      </c>
      <c r="C12" s="5">
        <v>31</v>
      </c>
      <c r="D12" s="5">
        <f t="shared" si="2"/>
        <v>961</v>
      </c>
      <c r="E12" s="5">
        <v>2</v>
      </c>
      <c r="F12" s="14">
        <f t="shared" si="3"/>
        <v>0.2221152498605134</v>
      </c>
      <c r="G12" s="10">
        <v>0.22985</v>
      </c>
      <c r="H12" s="15">
        <f t="shared" si="0"/>
        <v>0.1110576249302567</v>
      </c>
      <c r="I12" s="15">
        <f t="shared" si="1"/>
        <v>0.114925</v>
      </c>
      <c r="K12" s="20">
        <f t="shared" si="4"/>
        <v>0.22211524986051356</v>
      </c>
      <c r="L12" s="5">
        <v>30.5</v>
      </c>
      <c r="M12" s="5">
        <f t="shared" si="5"/>
        <v>930.25</v>
      </c>
      <c r="N12" s="20">
        <f t="shared" si="6"/>
        <v>0.23144856768305327</v>
      </c>
      <c r="P12" s="5">
        <f t="shared" si="7"/>
        <v>0.11105762493025678</v>
      </c>
      <c r="Q12" s="5">
        <f>N12/E12</f>
        <v>0.11572428384152664</v>
      </c>
    </row>
    <row r="13" spans="1:17" x14ac:dyDescent="0.3">
      <c r="A13" s="12" t="s">
        <v>17</v>
      </c>
      <c r="B13" s="5">
        <v>0.19652999999999998</v>
      </c>
      <c r="C13" s="5">
        <v>33</v>
      </c>
      <c r="D13" s="5">
        <f t="shared" si="2"/>
        <v>1089</v>
      </c>
      <c r="E13" s="5">
        <v>2</v>
      </c>
      <c r="F13" s="14">
        <f t="shared" si="3"/>
        <v>0.16828838540292143</v>
      </c>
      <c r="G13" s="10">
        <v>0.19652999999999998</v>
      </c>
      <c r="H13" s="15">
        <f t="shared" si="0"/>
        <v>8.4144192701460715E-2</v>
      </c>
      <c r="I13" s="15">
        <f t="shared" si="1"/>
        <v>9.8264999999999991E-2</v>
      </c>
      <c r="K13" s="20">
        <f t="shared" si="4"/>
        <v>0.16828838540292129</v>
      </c>
      <c r="L13" s="5">
        <v>32.5</v>
      </c>
      <c r="M13" s="5">
        <f t="shared" si="5"/>
        <v>1056.25</v>
      </c>
      <c r="N13" s="20">
        <f t="shared" si="6"/>
        <v>0.19424508345378691</v>
      </c>
      <c r="P13" s="5">
        <f t="shared" si="7"/>
        <v>8.4144192701460646E-2</v>
      </c>
      <c r="Q13" s="5">
        <f>N13/E13</f>
        <v>9.7122541726893455E-2</v>
      </c>
    </row>
    <row r="14" spans="1:17" x14ac:dyDescent="0.3">
      <c r="A14" s="12" t="s">
        <v>18</v>
      </c>
      <c r="B14" s="5">
        <v>0.15271000000000001</v>
      </c>
      <c r="C14" s="5">
        <v>35</v>
      </c>
      <c r="D14" s="5">
        <f t="shared" si="2"/>
        <v>1225</v>
      </c>
      <c r="E14" s="5">
        <v>2</v>
      </c>
      <c r="F14" s="14">
        <f t="shared" si="3"/>
        <v>0.12108292885433151</v>
      </c>
      <c r="G14" s="10">
        <v>0.15271000000000001</v>
      </c>
      <c r="H14" s="15">
        <f t="shared" si="0"/>
        <v>6.0541464427165757E-2</v>
      </c>
      <c r="I14" s="15">
        <f t="shared" si="1"/>
        <v>7.6355000000000006E-2</v>
      </c>
      <c r="K14" s="20">
        <f t="shared" si="4"/>
        <v>0.12108292885433146</v>
      </c>
      <c r="L14" s="5">
        <v>34.5</v>
      </c>
      <c r="M14" s="5">
        <f t="shared" si="5"/>
        <v>1190.25</v>
      </c>
      <c r="N14" s="20">
        <f t="shared" si="6"/>
        <v>0.15569021392777563</v>
      </c>
      <c r="P14" s="5">
        <f t="shared" si="7"/>
        <v>6.054146442716573E-2</v>
      </c>
      <c r="Q14" s="5">
        <f>N14/E14</f>
        <v>7.7845106963887814E-2</v>
      </c>
    </row>
    <row r="15" spans="1:17" x14ac:dyDescent="0.3">
      <c r="A15" s="12" t="s">
        <v>19</v>
      </c>
      <c r="B15" s="5">
        <v>0.10738</v>
      </c>
      <c r="C15" s="5">
        <v>37</v>
      </c>
      <c r="D15" s="5">
        <f t="shared" si="2"/>
        <v>1369</v>
      </c>
      <c r="E15" s="5">
        <v>2</v>
      </c>
      <c r="F15" s="14">
        <f t="shared" si="3"/>
        <v>8.3550901364301655E-2</v>
      </c>
      <c r="G15" s="10">
        <v>0.10738</v>
      </c>
      <c r="H15" s="15">
        <f t="shared" si="0"/>
        <v>4.1775450682150828E-2</v>
      </c>
      <c r="I15" s="15">
        <f t="shared" si="1"/>
        <v>5.3690000000000002E-2</v>
      </c>
      <c r="K15" s="20">
        <f t="shared" si="4"/>
        <v>8.3550901364301475E-2</v>
      </c>
      <c r="L15" s="5">
        <v>37</v>
      </c>
      <c r="M15" s="5">
        <f t="shared" si="5"/>
        <v>1369</v>
      </c>
      <c r="N15" s="20">
        <f t="shared" si="6"/>
        <v>0.11217567643536616</v>
      </c>
      <c r="P15" s="5">
        <f t="shared" si="7"/>
        <v>4.1775450682150737E-2</v>
      </c>
      <c r="Q15" s="5">
        <f>N15/E15</f>
        <v>5.6087838217683081E-2</v>
      </c>
    </row>
    <row r="16" spans="1:17" x14ac:dyDescent="0.3">
      <c r="A16" s="12" t="s">
        <v>20</v>
      </c>
      <c r="B16" s="5">
        <v>6.8069999999999992E-2</v>
      </c>
      <c r="C16" s="5">
        <v>39</v>
      </c>
      <c r="D16" s="5">
        <f t="shared" si="2"/>
        <v>1521</v>
      </c>
      <c r="E16" s="5">
        <v>2</v>
      </c>
      <c r="F16" s="14">
        <f t="shared" si="3"/>
        <v>5.5695968382214259E-2</v>
      </c>
      <c r="G16" s="10">
        <v>6.8069999999999992E-2</v>
      </c>
      <c r="H16" s="15">
        <f t="shared" si="0"/>
        <v>2.7847984191107129E-2</v>
      </c>
      <c r="I16" s="15">
        <f t="shared" si="1"/>
        <v>3.4034999999999996E-2</v>
      </c>
      <c r="K16" s="20">
        <f t="shared" si="4"/>
        <v>5.5695968382214293E-2</v>
      </c>
      <c r="L16" s="5">
        <v>40</v>
      </c>
      <c r="M16" s="5">
        <f t="shared" si="5"/>
        <v>1600</v>
      </c>
      <c r="N16" s="20">
        <f t="shared" si="6"/>
        <v>7.1341840765326403E-2</v>
      </c>
      <c r="P16" s="5">
        <f t="shared" si="7"/>
        <v>2.7847984191107147E-2</v>
      </c>
      <c r="Q16" s="5">
        <f>N16/E16</f>
        <v>3.5670920382663202E-2</v>
      </c>
    </row>
    <row r="17" spans="1:17" x14ac:dyDescent="0.3">
      <c r="A17" s="12" t="s">
        <v>21</v>
      </c>
      <c r="B17" s="5">
        <v>6.1080000000000002E-2</v>
      </c>
      <c r="C17" s="5">
        <v>42.5</v>
      </c>
      <c r="D17" s="5">
        <f t="shared" si="2"/>
        <v>1806.25</v>
      </c>
      <c r="E17" s="5">
        <v>5</v>
      </c>
      <c r="F17" s="14">
        <f t="shared" si="3"/>
        <v>6.402957446327473E-2</v>
      </c>
      <c r="G17" s="10">
        <v>6.1080000000000002E-2</v>
      </c>
      <c r="H17" s="15">
        <f t="shared" si="0"/>
        <v>1.2805914892654946E-2</v>
      </c>
      <c r="I17" s="15">
        <f t="shared" si="1"/>
        <v>1.2216000000000001E-2</v>
      </c>
      <c r="K17" s="20">
        <f t="shared" si="4"/>
        <v>6.4029574463274605E-2</v>
      </c>
      <c r="L17" s="5">
        <v>44.5</v>
      </c>
      <c r="M17" s="5">
        <f t="shared" si="5"/>
        <v>1980.25</v>
      </c>
      <c r="N17" s="20">
        <f t="shared" si="6"/>
        <v>8.2522769471343585E-2</v>
      </c>
      <c r="P17" s="5">
        <f t="shared" si="7"/>
        <v>1.280591489265492E-2</v>
      </c>
      <c r="Q17" s="5">
        <f>N17/E17</f>
        <v>1.6504553894268716E-2</v>
      </c>
    </row>
    <row r="18" spans="1:17" x14ac:dyDescent="0.3">
      <c r="A18" s="12" t="s">
        <v>22</v>
      </c>
      <c r="B18" s="5">
        <v>5.6299999999999996E-3</v>
      </c>
      <c r="C18" s="5">
        <v>47.5</v>
      </c>
      <c r="D18" s="5">
        <f t="shared" si="2"/>
        <v>2256.25</v>
      </c>
      <c r="E18" s="5">
        <v>5</v>
      </c>
      <c r="F18" s="14">
        <f t="shared" si="3"/>
        <v>1.8830291166998078E-2</v>
      </c>
      <c r="G18" s="10">
        <v>5.6299999999999996E-3</v>
      </c>
      <c r="H18" s="15">
        <f t="shared" si="0"/>
        <v>3.7660582333996157E-3</v>
      </c>
      <c r="I18" s="15">
        <f t="shared" si="1"/>
        <v>1.1259999999999998E-3</v>
      </c>
      <c r="K18" s="20">
        <f t="shared" si="4"/>
        <v>1.8830291166998071E-2</v>
      </c>
      <c r="L18" s="5">
        <v>49.5</v>
      </c>
      <c r="M18" s="5">
        <f t="shared" si="5"/>
        <v>2450.25</v>
      </c>
      <c r="N18" s="20">
        <f t="shared" si="6"/>
        <v>3.1850910262300372E-2</v>
      </c>
      <c r="P18" s="5">
        <f t="shared" si="7"/>
        <v>3.766058233399614E-3</v>
      </c>
      <c r="Q18" s="5">
        <f>N18/E18</f>
        <v>6.3701820524600748E-3</v>
      </c>
    </row>
    <row r="19" spans="1:17" x14ac:dyDescent="0.3">
      <c r="A19" s="12" t="s">
        <v>23</v>
      </c>
      <c r="B19" s="16">
        <f>SUM(B5:B18)</f>
        <v>2.1643699999999999</v>
      </c>
      <c r="F19" s="17">
        <f>SUM(F5:F18)</f>
        <v>2.149822461735305</v>
      </c>
      <c r="G19" s="18">
        <f>SUM(G5:G18)</f>
        <v>2.1643699999999999</v>
      </c>
      <c r="K19" s="5">
        <f>SUM(K5:K18)</f>
        <v>2.149822461735305</v>
      </c>
    </row>
    <row r="21" spans="1:17" x14ac:dyDescent="0.3">
      <c r="B21" s="6" t="s">
        <v>60</v>
      </c>
      <c r="C21" s="64">
        <f>SUMPRODUCT(B5:B18,C5:C18)/B19</f>
        <v>28.446714286374327</v>
      </c>
      <c r="D21" s="64"/>
      <c r="K21" s="6" t="s">
        <v>60</v>
      </c>
      <c r="L21" s="64">
        <f>SUMPRODUCT(K5:K18,L5:L18)/K19</f>
        <v>28.500893493138584</v>
      </c>
      <c r="M21" s="19" t="s">
        <v>24</v>
      </c>
      <c r="N21" s="13">
        <f>(L21-G26)^2/L22</f>
        <v>5.6422206262592747</v>
      </c>
      <c r="O21" s="5">
        <v>4.5</v>
      </c>
    </row>
    <row r="22" spans="1:17" x14ac:dyDescent="0.3">
      <c r="B22" s="6" t="s">
        <v>61</v>
      </c>
      <c r="C22" s="64">
        <f>SUMPRODUCT(B5:B18,D5:D18)/B19-C21^2</f>
        <v>35.036890438625505</v>
      </c>
      <c r="D22" s="64"/>
      <c r="F22" s="19" t="s">
        <v>24</v>
      </c>
      <c r="G22" s="13">
        <f>(C21-G26)^2/C22</f>
        <v>5.160678440231945</v>
      </c>
      <c r="H22" s="5">
        <f>(C21-G26)*G23</f>
        <v>5.1606784402319459</v>
      </c>
      <c r="I22" s="20"/>
      <c r="J22" s="20"/>
      <c r="K22" s="6" t="s">
        <v>61</v>
      </c>
      <c r="L22" s="64">
        <f>SUMPRODUCT(K5:K18,M5:M18)/K19-L21^2</f>
        <v>32.305387751899616</v>
      </c>
      <c r="M22" s="19" t="s">
        <v>25</v>
      </c>
      <c r="N22" s="13">
        <f>(L21-G26)/L22</f>
        <v>0.41791460906841171</v>
      </c>
      <c r="O22" s="5">
        <v>0.3</v>
      </c>
    </row>
    <row r="23" spans="1:17" x14ac:dyDescent="0.3">
      <c r="F23" s="19" t="s">
        <v>25</v>
      </c>
      <c r="G23" s="13">
        <f>(C21-G26)/C22</f>
        <v>0.38378732010847483</v>
      </c>
      <c r="H23" s="13"/>
    </row>
    <row r="24" spans="1:17" x14ac:dyDescent="0.3">
      <c r="F24" s="19" t="s">
        <v>26</v>
      </c>
      <c r="G24" s="5">
        <f>_xlfn.GAMMA(G22)</f>
        <v>30.657530570622878</v>
      </c>
      <c r="H24" s="21"/>
    </row>
    <row r="26" spans="1:17" x14ac:dyDescent="0.3">
      <c r="F26" s="22" t="s">
        <v>29</v>
      </c>
      <c r="G26" s="5">
        <v>15</v>
      </c>
    </row>
    <row r="29" spans="1:17" x14ac:dyDescent="0.3">
      <c r="A29" s="23"/>
    </row>
    <row r="35" spans="11:17" ht="14.5" x14ac:dyDescent="0.35">
      <c r="L35" s="24"/>
      <c r="M35" s="1"/>
      <c r="N35" s="1"/>
      <c r="O35" s="1"/>
    </row>
    <row r="36" spans="11:17" ht="14.5" x14ac:dyDescent="0.35">
      <c r="L36" s="24"/>
      <c r="M36" s="1"/>
      <c r="N36" s="1"/>
      <c r="O36" s="1"/>
    </row>
    <row r="37" spans="11:17" ht="14.5" x14ac:dyDescent="0.35">
      <c r="K37" s="25"/>
      <c r="L37" s="26"/>
      <c r="M37" s="2"/>
      <c r="N37" s="2"/>
      <c r="O37" s="2"/>
      <c r="P37" s="25"/>
      <c r="Q37" s="25"/>
    </row>
    <row r="38" spans="11:17" ht="14.5" x14ac:dyDescent="0.35">
      <c r="K38" s="25"/>
      <c r="L38" s="27"/>
      <c r="M38" s="2"/>
      <c r="N38" s="2"/>
      <c r="O38" s="2"/>
      <c r="P38" s="25"/>
      <c r="Q38" s="25"/>
    </row>
    <row r="39" spans="11:17" ht="15" customHeight="1" x14ac:dyDescent="0.3">
      <c r="K39" s="25"/>
      <c r="L39" s="28"/>
      <c r="M39" s="28"/>
      <c r="N39" s="28"/>
      <c r="O39" s="28"/>
      <c r="P39" s="25"/>
      <c r="Q39" s="25"/>
    </row>
    <row r="40" spans="11:17" ht="14.5" x14ac:dyDescent="0.3">
      <c r="K40" s="25"/>
      <c r="L40" s="29"/>
      <c r="M40" s="29"/>
      <c r="N40" s="29"/>
      <c r="O40" s="30"/>
      <c r="P40" s="25"/>
      <c r="Q40" s="25"/>
    </row>
    <row r="41" spans="11:17" ht="14.5" x14ac:dyDescent="0.3">
      <c r="K41" s="25"/>
      <c r="L41" s="31"/>
      <c r="M41" s="32"/>
      <c r="N41" s="32"/>
      <c r="O41" s="32"/>
      <c r="P41" s="25"/>
      <c r="Q41" s="25"/>
    </row>
    <row r="42" spans="11:17" ht="14.5" x14ac:dyDescent="0.3">
      <c r="K42" s="25"/>
      <c r="L42" s="31"/>
      <c r="M42" s="32"/>
      <c r="N42" s="32"/>
      <c r="O42" s="32"/>
      <c r="P42" s="25"/>
      <c r="Q42" s="25"/>
    </row>
    <row r="43" spans="11:17" ht="14.5" x14ac:dyDescent="0.3">
      <c r="K43" s="25"/>
      <c r="L43" s="31"/>
      <c r="M43" s="32"/>
      <c r="N43" s="32"/>
      <c r="O43" s="32"/>
      <c r="P43" s="25"/>
      <c r="Q43" s="25"/>
    </row>
    <row r="44" spans="11:17" ht="14.5" x14ac:dyDescent="0.3">
      <c r="K44" s="25"/>
      <c r="L44" s="31"/>
      <c r="M44" s="32"/>
      <c r="N44" s="32"/>
      <c r="O44" s="32"/>
      <c r="P44" s="25"/>
      <c r="Q44" s="25"/>
    </row>
    <row r="45" spans="11:17" ht="14.5" x14ac:dyDescent="0.3">
      <c r="K45" s="25"/>
      <c r="L45" s="31"/>
      <c r="M45" s="32"/>
      <c r="N45" s="32"/>
      <c r="O45" s="32"/>
      <c r="P45" s="25"/>
      <c r="Q45" s="25"/>
    </row>
    <row r="46" spans="11:17" ht="14.5" x14ac:dyDescent="0.3">
      <c r="K46" s="25"/>
      <c r="L46" s="31"/>
      <c r="M46" s="32"/>
      <c r="N46" s="32"/>
      <c r="O46" s="32"/>
      <c r="P46" s="25"/>
      <c r="Q46" s="25"/>
    </row>
    <row r="47" spans="11:17" ht="14.5" x14ac:dyDescent="0.3">
      <c r="K47" s="25"/>
      <c r="L47" s="31"/>
      <c r="M47" s="32"/>
      <c r="N47" s="32"/>
      <c r="O47" s="32"/>
      <c r="P47" s="25"/>
      <c r="Q47" s="25"/>
    </row>
    <row r="48" spans="11:17" ht="14.5" x14ac:dyDescent="0.3">
      <c r="K48" s="25"/>
      <c r="L48" s="31"/>
      <c r="M48" s="32"/>
      <c r="N48" s="32"/>
      <c r="O48" s="32"/>
      <c r="P48" s="25"/>
      <c r="Q48" s="25"/>
    </row>
    <row r="49" spans="2:17" ht="14.5" x14ac:dyDescent="0.3">
      <c r="K49" s="25"/>
      <c r="L49" s="31"/>
      <c r="M49" s="32"/>
      <c r="N49" s="32"/>
      <c r="O49" s="32"/>
      <c r="P49" s="25"/>
      <c r="Q49" s="25"/>
    </row>
    <row r="50" spans="2:17" ht="14.5" x14ac:dyDescent="0.3">
      <c r="K50" s="25"/>
      <c r="L50" s="31"/>
      <c r="M50" s="32"/>
      <c r="N50" s="32"/>
      <c r="O50" s="32"/>
      <c r="P50" s="25"/>
      <c r="Q50" s="25"/>
    </row>
    <row r="51" spans="2:17" ht="14.5" x14ac:dyDescent="0.3">
      <c r="B51" s="33"/>
      <c r="K51" s="25"/>
      <c r="L51" s="31"/>
      <c r="M51" s="32"/>
      <c r="N51" s="32"/>
      <c r="O51" s="32"/>
      <c r="P51" s="25"/>
      <c r="Q51" s="25"/>
    </row>
    <row r="52" spans="2:17" ht="14.5" x14ac:dyDescent="0.3">
      <c r="B52" s="33"/>
      <c r="K52" s="25"/>
      <c r="L52" s="31"/>
      <c r="M52" s="32"/>
      <c r="N52" s="32"/>
      <c r="O52" s="32"/>
      <c r="P52" s="25"/>
      <c r="Q52" s="25"/>
    </row>
    <row r="53" spans="2:17" ht="14.5" x14ac:dyDescent="0.3">
      <c r="B53" s="33"/>
      <c r="K53" s="25"/>
      <c r="L53" s="31"/>
      <c r="M53" s="34"/>
      <c r="N53" s="34"/>
      <c r="O53" s="32"/>
      <c r="P53" s="25"/>
      <c r="Q53" s="25"/>
    </row>
    <row r="54" spans="2:17" x14ac:dyDescent="0.3">
      <c r="B54" s="33"/>
      <c r="K54" s="25"/>
      <c r="L54" s="25"/>
      <c r="M54" s="25"/>
      <c r="N54" s="25"/>
      <c r="O54" s="25"/>
      <c r="P54" s="25"/>
      <c r="Q54" s="25"/>
    </row>
    <row r="55" spans="2:17" x14ac:dyDescent="0.3">
      <c r="K55" s="25"/>
      <c r="L55" s="25"/>
      <c r="M55" s="25"/>
      <c r="N55" s="25"/>
      <c r="O55" s="25"/>
      <c r="P55" s="25"/>
      <c r="Q55" s="25"/>
    </row>
    <row r="56" spans="2:17" x14ac:dyDescent="0.3">
      <c r="K56" s="25"/>
      <c r="L56" s="25"/>
      <c r="M56" s="25"/>
      <c r="N56" s="25"/>
      <c r="O56" s="25"/>
      <c r="P56" s="25"/>
      <c r="Q56" s="25"/>
    </row>
    <row r="57" spans="2:17" x14ac:dyDescent="0.3">
      <c r="K57" s="25"/>
      <c r="L57" s="25"/>
      <c r="M57" s="25"/>
      <c r="N57" s="25"/>
      <c r="O57" s="25"/>
      <c r="P57" s="25"/>
      <c r="Q57" s="25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9"/>
  <sheetViews>
    <sheetView workbookViewId="0">
      <selection activeCell="U6" sqref="U6"/>
    </sheetView>
  </sheetViews>
  <sheetFormatPr baseColWidth="10" defaultColWidth="11.36328125" defaultRowHeight="12.5" x14ac:dyDescent="0.25"/>
  <cols>
    <col min="1" max="1" width="11.36328125" style="39"/>
    <col min="2" max="2" width="9.36328125" style="39" customWidth="1"/>
    <col min="3" max="5" width="11.54296875" style="39" bestFit="1" customWidth="1"/>
    <col min="6" max="6" width="11.36328125" style="39"/>
    <col min="7" max="7" width="11.54296875" style="39" bestFit="1" customWidth="1"/>
    <col min="8" max="8" width="11.36328125" style="39"/>
    <col min="9" max="9" width="11.54296875" style="39" bestFit="1" customWidth="1"/>
    <col min="10" max="18" width="11.36328125" style="39"/>
    <col min="19" max="21" width="12" style="39" bestFit="1" customWidth="1"/>
    <col min="22" max="16384" width="11.36328125" style="39"/>
  </cols>
  <sheetData>
    <row r="1" spans="1:21" ht="13" x14ac:dyDescent="0.3">
      <c r="A1" s="35" t="s">
        <v>30</v>
      </c>
      <c r="B1" s="35"/>
      <c r="C1" s="35"/>
      <c r="D1" s="36" t="s">
        <v>31</v>
      </c>
      <c r="E1" s="37"/>
      <c r="F1" s="37"/>
      <c r="G1" s="37"/>
      <c r="H1" s="36" t="s">
        <v>31</v>
      </c>
      <c r="I1" s="37"/>
      <c r="J1" s="38"/>
    </row>
    <row r="2" spans="1:21" ht="13.25" customHeight="1" x14ac:dyDescent="0.25">
      <c r="A2" s="61" t="s">
        <v>32</v>
      </c>
      <c r="B2" s="61" t="s">
        <v>33</v>
      </c>
      <c r="C2" s="61" t="s">
        <v>63</v>
      </c>
      <c r="D2" s="61" t="s">
        <v>34</v>
      </c>
      <c r="E2" s="62" t="s">
        <v>59</v>
      </c>
      <c r="F2" s="63" t="s">
        <v>36</v>
      </c>
      <c r="G2" s="37"/>
    </row>
    <row r="3" spans="1:21" x14ac:dyDescent="0.25">
      <c r="A3" s="41">
        <v>15</v>
      </c>
      <c r="B3" s="42">
        <v>15.5</v>
      </c>
      <c r="C3" s="42">
        <f>B3^2</f>
        <v>240.25</v>
      </c>
      <c r="D3" s="43">
        <v>1.3612130955820828E-3</v>
      </c>
      <c r="E3" s="44">
        <f t="shared" ref="E3:E37" si="0">B3-15</f>
        <v>0.5</v>
      </c>
      <c r="F3" s="43">
        <f t="shared" ref="F3:F37" si="1">D$38*D$48/(D$46*D$47)*E3^(D$43-1)*(50-B3)^(D$44-1)/35^(D$43+D$44-1)</f>
        <v>3.016470598106926E-5</v>
      </c>
      <c r="G3" s="43"/>
      <c r="R3" s="39" t="s">
        <v>64</v>
      </c>
      <c r="S3" s="39" t="s">
        <v>65</v>
      </c>
      <c r="T3" s="39" t="s">
        <v>66</v>
      </c>
      <c r="U3" s="39" t="s">
        <v>67</v>
      </c>
    </row>
    <row r="4" spans="1:21" x14ac:dyDescent="0.25">
      <c r="A4" s="41">
        <v>16</v>
      </c>
      <c r="B4" s="42">
        <v>16.5</v>
      </c>
      <c r="C4" s="42">
        <f t="shared" ref="C4:C37" si="2">B4^2</f>
        <v>272.25</v>
      </c>
      <c r="D4" s="43">
        <v>2.9526766957771729E-3</v>
      </c>
      <c r="E4" s="44">
        <f t="shared" si="0"/>
        <v>1.5</v>
      </c>
      <c r="F4" s="43">
        <f t="shared" si="1"/>
        <v>9.1114366477139527E-4</v>
      </c>
      <c r="G4" s="43"/>
      <c r="R4" s="39">
        <f>E3/35</f>
        <v>1.4285714285714285E-2</v>
      </c>
      <c r="S4" s="39">
        <f>_xlfn.BETA.DIST(R4,$D$43,$D$44,TRUE)</f>
        <v>1.7958207679167136E-6</v>
      </c>
      <c r="T4" s="39">
        <f>S4*$D$38</f>
        <v>3.6152867940890139E-6</v>
      </c>
      <c r="U4" s="39">
        <f>T4</f>
        <v>3.6152867940890139E-6</v>
      </c>
    </row>
    <row r="5" spans="1:21" x14ac:dyDescent="0.25">
      <c r="A5" s="41">
        <v>17</v>
      </c>
      <c r="B5" s="42">
        <v>17.5</v>
      </c>
      <c r="C5" s="42">
        <f t="shared" si="2"/>
        <v>306.25</v>
      </c>
      <c r="D5" s="43">
        <v>6.7560996693536183E-3</v>
      </c>
      <c r="E5" s="44">
        <f t="shared" si="0"/>
        <v>2.5</v>
      </c>
      <c r="F5" s="43">
        <f t="shared" si="1"/>
        <v>4.1158843546211955E-3</v>
      </c>
      <c r="G5" s="43"/>
      <c r="R5" s="39">
        <f t="shared" ref="R5:R38" si="3">E4/35</f>
        <v>4.2857142857142858E-2</v>
      </c>
      <c r="S5" s="39">
        <f t="shared" ref="S5:S39" si="4">_xlfn.BETA.DIST(R5,$D$43,$D$44,TRUE)</f>
        <v>1.671784187674938E-4</v>
      </c>
      <c r="T5" s="39">
        <f t="shared" ref="T5:T39" si="5">S5*$D$38</f>
        <v>3.3655804656271472E-4</v>
      </c>
      <c r="U5" s="39">
        <f>T5-T4</f>
        <v>3.329427597686257E-4</v>
      </c>
    </row>
    <row r="6" spans="1:21" x14ac:dyDescent="0.25">
      <c r="A6" s="41">
        <v>18</v>
      </c>
      <c r="B6" s="42">
        <v>18.5</v>
      </c>
      <c r="C6" s="42">
        <f t="shared" si="2"/>
        <v>342.25</v>
      </c>
      <c r="D6" s="43">
        <v>1.3237440744125105E-2</v>
      </c>
      <c r="E6" s="44">
        <f t="shared" si="0"/>
        <v>3.5</v>
      </c>
      <c r="F6" s="43">
        <f t="shared" si="1"/>
        <v>1.054851112032381E-2</v>
      </c>
      <c r="G6" s="43"/>
      <c r="R6" s="39">
        <f t="shared" si="3"/>
        <v>7.1428571428571425E-2</v>
      </c>
      <c r="S6" s="39">
        <f t="shared" si="4"/>
        <v>1.295497010065025E-3</v>
      </c>
      <c r="T6" s="39">
        <f t="shared" si="5"/>
        <v>2.6080516028908641E-3</v>
      </c>
      <c r="U6" s="39">
        <f t="shared" ref="U6:U38" si="6">T6-T5</f>
        <v>2.2714935563281492E-3</v>
      </c>
    </row>
    <row r="7" spans="1:21" x14ac:dyDescent="0.25">
      <c r="A7" s="41">
        <v>19</v>
      </c>
      <c r="B7" s="42">
        <v>19.5</v>
      </c>
      <c r="C7" s="42">
        <f t="shared" si="2"/>
        <v>380.25</v>
      </c>
      <c r="D7" s="43">
        <v>2.4081113713098266E-2</v>
      </c>
      <c r="E7" s="44">
        <f t="shared" si="0"/>
        <v>4.5</v>
      </c>
      <c r="F7" s="43">
        <f t="shared" si="1"/>
        <v>2.0445683024839088E-2</v>
      </c>
      <c r="G7" s="43"/>
      <c r="R7" s="39">
        <f t="shared" si="3"/>
        <v>0.1</v>
      </c>
      <c r="S7" s="39">
        <f t="shared" si="4"/>
        <v>4.7943657483341803E-3</v>
      </c>
      <c r="T7" s="39">
        <f t="shared" si="5"/>
        <v>9.6518580727256217E-3</v>
      </c>
      <c r="U7" s="39">
        <f t="shared" si="6"/>
        <v>7.0438064698347576E-3</v>
      </c>
    </row>
    <row r="8" spans="1:21" x14ac:dyDescent="0.25">
      <c r="A8" s="41">
        <v>20</v>
      </c>
      <c r="B8" s="42">
        <v>20.5</v>
      </c>
      <c r="C8" s="42">
        <f t="shared" si="2"/>
        <v>420.25</v>
      </c>
      <c r="D8" s="43">
        <v>3.4254313560280553E-2</v>
      </c>
      <c r="E8" s="44">
        <f t="shared" si="0"/>
        <v>5.5</v>
      </c>
      <c r="F8" s="43">
        <f t="shared" si="1"/>
        <v>3.3489621094472843E-2</v>
      </c>
      <c r="G8" s="43"/>
      <c r="R8" s="39">
        <f t="shared" si="3"/>
        <v>0.12857142857142856</v>
      </c>
      <c r="S8" s="39">
        <f t="shared" si="4"/>
        <v>1.2351743347882244E-2</v>
      </c>
      <c r="T8" s="39">
        <f t="shared" si="5"/>
        <v>2.4866119942124711E-2</v>
      </c>
      <c r="U8" s="39">
        <f t="shared" si="6"/>
        <v>1.5214261869399089E-2</v>
      </c>
    </row>
    <row r="9" spans="1:21" x14ac:dyDescent="0.25">
      <c r="A9" s="41">
        <v>21</v>
      </c>
      <c r="B9" s="42">
        <v>21.5</v>
      </c>
      <c r="C9" s="42">
        <f t="shared" si="2"/>
        <v>462.25</v>
      </c>
      <c r="D9" s="43">
        <v>4.5648053356578851E-2</v>
      </c>
      <c r="E9" s="44">
        <f t="shared" si="0"/>
        <v>6.5</v>
      </c>
      <c r="F9" s="43">
        <f t="shared" si="1"/>
        <v>4.8957748244257346E-2</v>
      </c>
      <c r="G9" s="43"/>
      <c r="R9" s="39">
        <f t="shared" si="3"/>
        <v>0.15714285714285714</v>
      </c>
      <c r="S9" s="39">
        <f t="shared" si="4"/>
        <v>2.5629590616969535E-2</v>
      </c>
      <c r="T9" s="39">
        <f t="shared" si="5"/>
        <v>5.1596641575165796E-2</v>
      </c>
      <c r="U9" s="39">
        <f t="shared" si="6"/>
        <v>2.6730521633041085E-2</v>
      </c>
    </row>
    <row r="10" spans="1:21" x14ac:dyDescent="0.25">
      <c r="A10" s="41">
        <v>22</v>
      </c>
      <c r="B10" s="42">
        <v>22.5</v>
      </c>
      <c r="C10" s="42">
        <f t="shared" si="2"/>
        <v>506.25</v>
      </c>
      <c r="D10" s="43">
        <v>5.8466301045269536E-2</v>
      </c>
      <c r="E10" s="44">
        <f t="shared" si="0"/>
        <v>7.5</v>
      </c>
      <c r="F10" s="43">
        <f t="shared" si="1"/>
        <v>6.5873071467239461E-2</v>
      </c>
      <c r="G10" s="43"/>
      <c r="R10" s="39">
        <f t="shared" si="3"/>
        <v>0.18571428571428572</v>
      </c>
      <c r="S10" s="39">
        <f t="shared" si="4"/>
        <v>4.6025113830033305E-2</v>
      </c>
      <c r="T10" s="39">
        <f t="shared" si="5"/>
        <v>9.265623229159585E-2</v>
      </c>
      <c r="U10" s="39">
        <f t="shared" si="6"/>
        <v>4.1059590716430054E-2</v>
      </c>
    </row>
    <row r="11" spans="1:21" x14ac:dyDescent="0.25">
      <c r="A11" s="41">
        <v>23</v>
      </c>
      <c r="B11" s="42">
        <v>23.5</v>
      </c>
      <c r="C11" s="42">
        <f t="shared" si="2"/>
        <v>552.25</v>
      </c>
      <c r="D11" s="43">
        <v>7.3929400178342944E-2</v>
      </c>
      <c r="E11" s="44">
        <f t="shared" si="0"/>
        <v>8.5</v>
      </c>
      <c r="F11" s="43">
        <f t="shared" si="1"/>
        <v>8.3140732705638126E-2</v>
      </c>
      <c r="G11" s="43"/>
      <c r="R11" s="39">
        <f t="shared" si="3"/>
        <v>0.21428571428571427</v>
      </c>
      <c r="S11" s="39">
        <f t="shared" si="4"/>
        <v>7.4507396395238706E-2</v>
      </c>
      <c r="T11" s="39">
        <f t="shared" si="5"/>
        <v>0.14999581865964617</v>
      </c>
      <c r="U11" s="39">
        <f t="shared" si="6"/>
        <v>5.7339586368050324E-2</v>
      </c>
    </row>
    <row r="12" spans="1:21" x14ac:dyDescent="0.25">
      <c r="A12" s="41">
        <v>24</v>
      </c>
      <c r="B12" s="42">
        <v>24.5</v>
      </c>
      <c r="C12" s="42">
        <f t="shared" si="2"/>
        <v>600.25</v>
      </c>
      <c r="D12" s="43">
        <v>8.950618072390723E-2</v>
      </c>
      <c r="E12" s="44">
        <f t="shared" si="0"/>
        <v>9.5</v>
      </c>
      <c r="F12" s="43">
        <f t="shared" si="1"/>
        <v>9.9664160457008599E-2</v>
      </c>
      <c r="G12" s="43"/>
      <c r="R12" s="39">
        <f t="shared" si="3"/>
        <v>0.24285714285714285</v>
      </c>
      <c r="S12" s="39">
        <f t="shared" si="4"/>
        <v>0.1115256850603818</v>
      </c>
      <c r="T12" s="39">
        <f t="shared" si="5"/>
        <v>0.22451980932833729</v>
      </c>
      <c r="U12" s="39">
        <f t="shared" si="6"/>
        <v>7.4523990668691115E-2</v>
      </c>
    </row>
    <row r="13" spans="1:21" x14ac:dyDescent="0.25">
      <c r="A13" s="41">
        <v>25</v>
      </c>
      <c r="B13" s="42">
        <v>25.5</v>
      </c>
      <c r="C13" s="42">
        <f t="shared" si="2"/>
        <v>650.25</v>
      </c>
      <c r="D13" s="43">
        <v>0.10820406337352576</v>
      </c>
      <c r="E13" s="44">
        <f t="shared" si="0"/>
        <v>10.5</v>
      </c>
      <c r="F13" s="43">
        <f t="shared" si="1"/>
        <v>0.11443814450666481</v>
      </c>
      <c r="G13" s="43"/>
      <c r="R13" s="39">
        <f t="shared" si="3"/>
        <v>0.27142857142857141</v>
      </c>
      <c r="S13" s="39">
        <f t="shared" si="4"/>
        <v>0.15698061169442717</v>
      </c>
      <c r="T13" s="39">
        <f t="shared" si="5"/>
        <v>0.31602815967278025</v>
      </c>
      <c r="U13" s="39">
        <f t="shared" si="6"/>
        <v>9.1508350344442962E-2</v>
      </c>
    </row>
    <row r="14" spans="1:21" x14ac:dyDescent="0.25">
      <c r="A14" s="41">
        <v>26</v>
      </c>
      <c r="B14" s="42">
        <v>26.5</v>
      </c>
      <c r="C14" s="42">
        <f t="shared" si="2"/>
        <v>702.25</v>
      </c>
      <c r="D14" s="43">
        <v>0.1234393881020724</v>
      </c>
      <c r="E14" s="44">
        <f t="shared" si="0"/>
        <v>11.5</v>
      </c>
      <c r="F14" s="43">
        <f t="shared" si="1"/>
        <v>0.12661833398320219</v>
      </c>
      <c r="G14" s="43"/>
      <c r="R14" s="39">
        <f t="shared" si="3"/>
        <v>0.3</v>
      </c>
      <c r="S14" s="39">
        <f t="shared" si="4"/>
        <v>0.21024743674804289</v>
      </c>
      <c r="T14" s="39">
        <f t="shared" si="5"/>
        <v>0.42326316475782999</v>
      </c>
      <c r="U14" s="39">
        <f t="shared" si="6"/>
        <v>0.10723500508504974</v>
      </c>
    </row>
    <row r="15" spans="1:21" x14ac:dyDescent="0.25">
      <c r="A15" s="41">
        <v>27</v>
      </c>
      <c r="B15" s="42">
        <v>27.5</v>
      </c>
      <c r="C15" s="42">
        <f t="shared" si="2"/>
        <v>756.25</v>
      </c>
      <c r="D15" s="43">
        <v>0.13814579856459208</v>
      </c>
      <c r="E15" s="44">
        <f t="shared" si="0"/>
        <v>12.5</v>
      </c>
      <c r="F15" s="43">
        <f t="shared" si="1"/>
        <v>0.13556798624290339</v>
      </c>
      <c r="G15" s="43"/>
      <c r="R15" s="39">
        <f t="shared" si="3"/>
        <v>0.32857142857142857</v>
      </c>
      <c r="S15" s="39">
        <f t="shared" si="4"/>
        <v>0.27023965869456162</v>
      </c>
      <c r="T15" s="39">
        <f t="shared" si="5"/>
        <v>0.54403751575440185</v>
      </c>
      <c r="U15" s="39">
        <f t="shared" si="6"/>
        <v>0.12077435099657186</v>
      </c>
    </row>
    <row r="16" spans="1:21" x14ac:dyDescent="0.25">
      <c r="A16" s="41">
        <v>28</v>
      </c>
      <c r="B16" s="42">
        <v>28.5</v>
      </c>
      <c r="C16" s="42">
        <f t="shared" si="2"/>
        <v>812.25</v>
      </c>
      <c r="D16" s="43">
        <v>0.14740084236827947</v>
      </c>
      <c r="E16" s="44">
        <f t="shared" si="0"/>
        <v>13.5</v>
      </c>
      <c r="F16" s="43">
        <f t="shared" si="1"/>
        <v>0.14088364350901619</v>
      </c>
      <c r="G16" s="43"/>
      <c r="R16" s="39">
        <f t="shared" si="3"/>
        <v>0.35714285714285715</v>
      </c>
      <c r="S16" s="39">
        <f t="shared" si="4"/>
        <v>0.33550144054771291</v>
      </c>
      <c r="T16" s="39">
        <f t="shared" si="5"/>
        <v>0.67542036993874455</v>
      </c>
      <c r="U16" s="39">
        <f t="shared" si="6"/>
        <v>0.1313828541843427</v>
      </c>
    </row>
    <row r="17" spans="1:21" x14ac:dyDescent="0.25">
      <c r="A17" s="41">
        <v>29</v>
      </c>
      <c r="B17" s="42">
        <v>29.5</v>
      </c>
      <c r="C17" s="42">
        <f t="shared" si="2"/>
        <v>870.25</v>
      </c>
      <c r="D17" s="43">
        <v>0.15164925485069577</v>
      </c>
      <c r="E17" s="44">
        <f t="shared" si="0"/>
        <v>14.5</v>
      </c>
      <c r="F17" s="43">
        <f t="shared" si="1"/>
        <v>0.14240196871542687</v>
      </c>
      <c r="G17" s="43"/>
      <c r="R17" s="39">
        <f t="shared" si="3"/>
        <v>0.38571428571428573</v>
      </c>
      <c r="S17" s="39">
        <f t="shared" si="4"/>
        <v>0.40431794166979135</v>
      </c>
      <c r="T17" s="39">
        <f t="shared" si="5"/>
        <v>0.81395946702841604</v>
      </c>
      <c r="U17" s="39">
        <f t="shared" si="6"/>
        <v>0.13853909708967149</v>
      </c>
    </row>
    <row r="18" spans="1:21" x14ac:dyDescent="0.25">
      <c r="A18" s="41">
        <v>30</v>
      </c>
      <c r="B18" s="42">
        <v>30.5</v>
      </c>
      <c r="C18" s="42">
        <f t="shared" si="2"/>
        <v>930.25</v>
      </c>
      <c r="D18" s="43">
        <v>0.15016069522944989</v>
      </c>
      <c r="E18" s="44">
        <f t="shared" si="0"/>
        <v>15.5</v>
      </c>
      <c r="F18" s="43">
        <f t="shared" si="1"/>
        <v>0.1401903303223058</v>
      </c>
      <c r="G18" s="43"/>
      <c r="R18" s="39">
        <f t="shared" si="3"/>
        <v>0.41428571428571431</v>
      </c>
      <c r="S18" s="39">
        <f t="shared" si="4"/>
        <v>0.47483362352779268</v>
      </c>
      <c r="T18" s="39">
        <f t="shared" si="5"/>
        <v>0.95591929840577416</v>
      </c>
      <c r="U18" s="39">
        <f t="shared" si="6"/>
        <v>0.14195983137735813</v>
      </c>
    </row>
    <row r="19" spans="1:21" x14ac:dyDescent="0.25">
      <c r="A19" s="41">
        <v>31</v>
      </c>
      <c r="B19" s="42">
        <v>31.5</v>
      </c>
      <c r="C19" s="42">
        <f t="shared" si="2"/>
        <v>992.25</v>
      </c>
      <c r="D19" s="43">
        <v>0.14161067484011428</v>
      </c>
      <c r="E19" s="44">
        <f t="shared" si="0"/>
        <v>16.5</v>
      </c>
      <c r="F19" s="43">
        <f t="shared" si="1"/>
        <v>0.13452394511924823</v>
      </c>
      <c r="G19" s="43"/>
      <c r="R19" s="39">
        <f t="shared" si="3"/>
        <v>0.44285714285714284</v>
      </c>
      <c r="S19" s="39">
        <f t="shared" si="4"/>
        <v>0.54516980219516853</v>
      </c>
      <c r="T19" s="39">
        <f t="shared" si="5"/>
        <v>1.0975177599147361</v>
      </c>
      <c r="U19" s="39">
        <f t="shared" si="6"/>
        <v>0.14159846150896194</v>
      </c>
    </row>
    <row r="20" spans="1:21" x14ac:dyDescent="0.25">
      <c r="A20" s="41">
        <v>32</v>
      </c>
      <c r="B20" s="42">
        <v>32.5</v>
      </c>
      <c r="C20" s="42">
        <f t="shared" si="2"/>
        <v>1056.25</v>
      </c>
      <c r="D20" s="43">
        <v>0.1304385112343491</v>
      </c>
      <c r="E20" s="44">
        <f t="shared" si="0"/>
        <v>17.5</v>
      </c>
      <c r="F20" s="43">
        <f t="shared" si="1"/>
        <v>0.12585250311260954</v>
      </c>
      <c r="G20" s="43"/>
      <c r="R20" s="39">
        <f t="shared" si="3"/>
        <v>0.47142857142857142</v>
      </c>
      <c r="S20" s="39">
        <f t="shared" si="4"/>
        <v>0.61353406617647499</v>
      </c>
      <c r="T20" s="39">
        <f t="shared" si="5"/>
        <v>1.2351464281954536</v>
      </c>
      <c r="U20" s="39">
        <f t="shared" si="6"/>
        <v>0.13762866828071751</v>
      </c>
    </row>
    <row r="21" spans="1:21" x14ac:dyDescent="0.25">
      <c r="A21" s="41">
        <v>33</v>
      </c>
      <c r="B21" s="42">
        <v>33.5</v>
      </c>
      <c r="C21" s="42">
        <f t="shared" si="2"/>
        <v>1122.25</v>
      </c>
      <c r="D21" s="43">
        <v>0.11578762757606138</v>
      </c>
      <c r="E21" s="44">
        <f t="shared" si="0"/>
        <v>18.5</v>
      </c>
      <c r="F21" s="43">
        <f t="shared" si="1"/>
        <v>0.11475923167547132</v>
      </c>
      <c r="G21" s="43"/>
      <c r="R21" s="39">
        <f t="shared" si="3"/>
        <v>0.5</v>
      </c>
      <c r="S21" s="39">
        <f t="shared" si="4"/>
        <v>0.67831560581614203</v>
      </c>
      <c r="T21" s="39">
        <f t="shared" si="5"/>
        <v>1.3655624746875188</v>
      </c>
      <c r="U21" s="39">
        <f t="shared" si="6"/>
        <v>0.13041604649206517</v>
      </c>
    </row>
    <row r="22" spans="1:21" x14ac:dyDescent="0.25">
      <c r="A22" s="41">
        <v>34</v>
      </c>
      <c r="B22" s="42">
        <v>34.5</v>
      </c>
      <c r="C22" s="42">
        <f t="shared" si="2"/>
        <v>1190.25</v>
      </c>
      <c r="D22" s="43">
        <v>9.9532267289265647E-2</v>
      </c>
      <c r="E22" s="44">
        <f t="shared" si="0"/>
        <v>19.5</v>
      </c>
      <c r="F22" s="43">
        <f t="shared" si="1"/>
        <v>0.10191532163591455</v>
      </c>
      <c r="G22" s="43"/>
      <c r="R22" s="39">
        <f t="shared" si="3"/>
        <v>0.52857142857142858</v>
      </c>
      <c r="S22" s="39">
        <f t="shared" si="4"/>
        <v>0.73816196430494618</v>
      </c>
      <c r="T22" s="39">
        <f t="shared" si="5"/>
        <v>1.4860431782100012</v>
      </c>
      <c r="U22" s="39">
        <f t="shared" si="6"/>
        <v>0.12048070352248241</v>
      </c>
    </row>
    <row r="23" spans="1:21" x14ac:dyDescent="0.25">
      <c r="A23" s="41">
        <v>35</v>
      </c>
      <c r="B23" s="42">
        <v>35.5</v>
      </c>
      <c r="C23" s="42">
        <f t="shared" si="2"/>
        <v>1260.25</v>
      </c>
      <c r="D23" s="43">
        <v>8.6652349180564761E-2</v>
      </c>
      <c r="E23" s="44">
        <f t="shared" si="0"/>
        <v>20.5</v>
      </c>
      <c r="F23" s="43">
        <f t="shared" si="1"/>
        <v>8.8032545302217963E-2</v>
      </c>
      <c r="G23" s="43"/>
      <c r="R23" s="39">
        <f t="shared" si="3"/>
        <v>0.55714285714285716</v>
      </c>
      <c r="S23" s="39">
        <f t="shared" si="4"/>
        <v>0.79203418321933072</v>
      </c>
      <c r="T23" s="39">
        <f t="shared" si="5"/>
        <v>1.594496942131769</v>
      </c>
      <c r="U23" s="39">
        <f t="shared" si="6"/>
        <v>0.10845376392176775</v>
      </c>
    </row>
    <row r="24" spans="1:21" x14ac:dyDescent="0.25">
      <c r="A24" s="41">
        <v>36</v>
      </c>
      <c r="B24" s="42">
        <v>36.5</v>
      </c>
      <c r="C24" s="42">
        <f t="shared" si="2"/>
        <v>1332.25</v>
      </c>
      <c r="D24" s="43">
        <v>7.0516734456165395E-2</v>
      </c>
      <c r="E24" s="44">
        <f t="shared" si="0"/>
        <v>21.5</v>
      </c>
      <c r="F24" s="43">
        <f t="shared" si="1"/>
        <v>7.3816751541428999E-2</v>
      </c>
      <c r="G24" s="43"/>
      <c r="R24" s="39">
        <f t="shared" si="3"/>
        <v>0.58571428571428574</v>
      </c>
      <c r="S24" s="39">
        <f t="shared" si="4"/>
        <v>0.83923874655376762</v>
      </c>
      <c r="T24" s="39">
        <f t="shared" si="5"/>
        <v>1.6895276030377036</v>
      </c>
      <c r="U24" s="39">
        <f t="shared" si="6"/>
        <v>9.5030660905934594E-2</v>
      </c>
    </row>
    <row r="25" spans="1:21" x14ac:dyDescent="0.25">
      <c r="A25" s="41">
        <v>37</v>
      </c>
      <c r="B25" s="42">
        <v>37.5</v>
      </c>
      <c r="C25" s="42">
        <f t="shared" si="2"/>
        <v>1406.25</v>
      </c>
      <c r="D25" s="43">
        <v>5.637376752682028E-2</v>
      </c>
      <c r="E25" s="44">
        <f t="shared" si="0"/>
        <v>22.5</v>
      </c>
      <c r="F25" s="43">
        <f t="shared" si="1"/>
        <v>5.9924729358902508E-2</v>
      </c>
      <c r="G25" s="43"/>
      <c r="R25" s="39">
        <f t="shared" si="3"/>
        <v>0.61428571428571432</v>
      </c>
      <c r="S25" s="39">
        <f t="shared" si="4"/>
        <v>0.87943609904060338</v>
      </c>
      <c r="T25" s="39">
        <f t="shared" si="5"/>
        <v>1.7704515795276214</v>
      </c>
      <c r="U25" s="39">
        <f t="shared" si="6"/>
        <v>8.0923976489917893E-2</v>
      </c>
    </row>
    <row r="26" spans="1:21" x14ac:dyDescent="0.25">
      <c r="A26" s="41">
        <v>38</v>
      </c>
      <c r="B26" s="42">
        <v>38.5</v>
      </c>
      <c r="C26" s="42">
        <f t="shared" si="2"/>
        <v>1482.25</v>
      </c>
      <c r="D26" s="43">
        <v>4.410406677321968E-2</v>
      </c>
      <c r="E26" s="44">
        <f t="shared" si="0"/>
        <v>23.5</v>
      </c>
      <c r="F26" s="43">
        <f t="shared" si="1"/>
        <v>4.692669031219978E-2</v>
      </c>
      <c r="G26" s="43"/>
      <c r="R26" s="39">
        <f t="shared" si="3"/>
        <v>0.6428571428571429</v>
      </c>
      <c r="S26" s="39">
        <f t="shared" si="4"/>
        <v>0.9126268022057541</v>
      </c>
      <c r="T26" s="39">
        <f t="shared" si="5"/>
        <v>1.8372700020468686</v>
      </c>
      <c r="U26" s="39">
        <f t="shared" si="6"/>
        <v>6.6818422519247189E-2</v>
      </c>
    </row>
    <row r="27" spans="1:21" x14ac:dyDescent="0.25">
      <c r="A27" s="41">
        <v>39</v>
      </c>
      <c r="B27" s="42">
        <v>39.5</v>
      </c>
      <c r="C27" s="42">
        <f t="shared" si="2"/>
        <v>1560.25</v>
      </c>
      <c r="D27" s="43">
        <v>3.4239400183073233E-2</v>
      </c>
      <c r="E27" s="44">
        <f t="shared" si="0"/>
        <v>24.5</v>
      </c>
      <c r="F27" s="43">
        <f t="shared" si="1"/>
        <v>3.5276330975224632E-2</v>
      </c>
      <c r="G27" s="43"/>
      <c r="R27" s="39">
        <f t="shared" si="3"/>
        <v>0.67142857142857137</v>
      </c>
      <c r="S27" s="39">
        <f t="shared" si="4"/>
        <v>0.93911757126182382</v>
      </c>
      <c r="T27" s="39">
        <f t="shared" si="5"/>
        <v>1.8906003394862632</v>
      </c>
      <c r="U27" s="39">
        <f t="shared" si="6"/>
        <v>5.3330337439394526E-2</v>
      </c>
    </row>
    <row r="28" spans="1:21" x14ac:dyDescent="0.25">
      <c r="A28" s="41">
        <v>40</v>
      </c>
      <c r="B28" s="42">
        <v>40.5</v>
      </c>
      <c r="C28" s="42">
        <f t="shared" si="2"/>
        <v>1640.25</v>
      </c>
      <c r="D28" s="43">
        <v>2.4684952828256626E-2</v>
      </c>
      <c r="E28" s="44">
        <f t="shared" si="0"/>
        <v>25.5</v>
      </c>
      <c r="F28" s="43">
        <f t="shared" si="1"/>
        <v>2.5290097013448153E-2</v>
      </c>
      <c r="G28" s="43"/>
      <c r="R28" s="39">
        <f t="shared" si="3"/>
        <v>0.7</v>
      </c>
      <c r="S28" s="39">
        <f t="shared" si="4"/>
        <v>0.95947048396492252</v>
      </c>
      <c r="T28" s="39">
        <f t="shared" si="5"/>
        <v>1.9315741481376238</v>
      </c>
      <c r="U28" s="39">
        <f t="shared" si="6"/>
        <v>4.0973808651360688E-2</v>
      </c>
    </row>
    <row r="29" spans="1:21" x14ac:dyDescent="0.25">
      <c r="A29" s="41">
        <v>41</v>
      </c>
      <c r="B29" s="42">
        <v>41.5</v>
      </c>
      <c r="C29" s="42">
        <f t="shared" si="2"/>
        <v>1722.25</v>
      </c>
      <c r="D29" s="43">
        <v>1.6428809828841713E-2</v>
      </c>
      <c r="E29" s="44">
        <f t="shared" si="0"/>
        <v>26.5</v>
      </c>
      <c r="F29" s="43">
        <f t="shared" si="1"/>
        <v>1.713687536788169E-2</v>
      </c>
      <c r="G29" s="43"/>
      <c r="R29" s="39">
        <f t="shared" si="3"/>
        <v>0.72857142857142854</v>
      </c>
      <c r="S29" s="39">
        <f t="shared" si="4"/>
        <v>0.97443954457041038</v>
      </c>
      <c r="T29" s="39">
        <f t="shared" si="5"/>
        <v>1.9617093643539496</v>
      </c>
      <c r="U29" s="39">
        <f t="shared" si="6"/>
        <v>3.0135216216325755E-2</v>
      </c>
    </row>
    <row r="30" spans="1:21" x14ac:dyDescent="0.25">
      <c r="A30" s="41">
        <v>42</v>
      </c>
      <c r="B30" s="42">
        <v>42.5</v>
      </c>
      <c r="C30" s="42">
        <f t="shared" si="2"/>
        <v>1806.25</v>
      </c>
      <c r="D30" s="43">
        <v>1.0509645342598567E-2</v>
      </c>
      <c r="E30" s="44">
        <f t="shared" si="0"/>
        <v>27.5</v>
      </c>
      <c r="F30" s="43">
        <f t="shared" si="1"/>
        <v>1.0838882611897124E-2</v>
      </c>
      <c r="G30" s="43"/>
      <c r="R30" s="39">
        <f t="shared" si="3"/>
        <v>0.75714285714285712</v>
      </c>
      <c r="S30" s="39">
        <f t="shared" si="4"/>
        <v>0.98489949581147918</v>
      </c>
      <c r="T30" s="39">
        <f t="shared" si="5"/>
        <v>1.9827669911863424</v>
      </c>
      <c r="U30" s="39">
        <f t="shared" si="6"/>
        <v>2.1057626832392762E-2</v>
      </c>
    </row>
    <row r="31" spans="1:21" x14ac:dyDescent="0.25">
      <c r="A31" s="41">
        <v>43</v>
      </c>
      <c r="B31" s="42">
        <v>43.5</v>
      </c>
      <c r="C31" s="42">
        <f t="shared" si="2"/>
        <v>1892.25</v>
      </c>
      <c r="D31" s="43">
        <v>6.1990182426953123E-3</v>
      </c>
      <c r="E31" s="44">
        <f t="shared" si="0"/>
        <v>28.5</v>
      </c>
      <c r="F31" s="43">
        <f t="shared" si="1"/>
        <v>6.283983282490138E-3</v>
      </c>
      <c r="G31" s="43"/>
      <c r="R31" s="39">
        <f t="shared" si="3"/>
        <v>0.7857142857142857</v>
      </c>
      <c r="S31" s="39">
        <f t="shared" si="4"/>
        <v>0.99177227004316049</v>
      </c>
      <c r="T31" s="39">
        <f t="shared" si="5"/>
        <v>1.9966030322670885</v>
      </c>
      <c r="U31" s="39">
        <f t="shared" si="6"/>
        <v>1.3836041080746098E-2</v>
      </c>
    </row>
    <row r="32" spans="1:21" x14ac:dyDescent="0.25">
      <c r="A32" s="41">
        <v>44</v>
      </c>
      <c r="B32" s="42">
        <v>44.5</v>
      </c>
      <c r="C32" s="42">
        <f t="shared" si="2"/>
        <v>1980.25</v>
      </c>
      <c r="D32" s="43">
        <v>3.2773673606447278E-3</v>
      </c>
      <c r="E32" s="44">
        <f t="shared" si="0"/>
        <v>29.5</v>
      </c>
      <c r="F32" s="43">
        <f t="shared" si="1"/>
        <v>3.2490423341454944E-3</v>
      </c>
      <c r="G32" s="43"/>
      <c r="R32" s="39">
        <f t="shared" si="3"/>
        <v>0.81428571428571428</v>
      </c>
      <c r="S32" s="39">
        <f t="shared" si="4"/>
        <v>0.99595672299861127</v>
      </c>
      <c r="T32" s="39">
        <f t="shared" si="5"/>
        <v>2.0050270341388776</v>
      </c>
      <c r="U32" s="39">
        <f t="shared" si="6"/>
        <v>8.4240018717891552E-3</v>
      </c>
    </row>
    <row r="33" spans="1:21" x14ac:dyDescent="0.25">
      <c r="A33" s="41">
        <v>45</v>
      </c>
      <c r="B33" s="42">
        <v>45.5</v>
      </c>
      <c r="C33" s="42">
        <f t="shared" si="2"/>
        <v>2070.25</v>
      </c>
      <c r="D33" s="43">
        <v>1.711290638996368E-3</v>
      </c>
      <c r="E33" s="44">
        <f t="shared" si="0"/>
        <v>30.5</v>
      </c>
      <c r="F33" s="43">
        <f t="shared" si="1"/>
        <v>1.4331590981470342E-3</v>
      </c>
      <c r="G33" s="43"/>
      <c r="R33" s="39">
        <f t="shared" si="3"/>
        <v>0.84285714285714286</v>
      </c>
      <c r="S33" s="39">
        <f t="shared" si="4"/>
        <v>0.99826725784212011</v>
      </c>
      <c r="T33" s="39">
        <f t="shared" si="5"/>
        <v>2.0096785262344445</v>
      </c>
      <c r="U33" s="39">
        <f t="shared" si="6"/>
        <v>4.6514920955669226E-3</v>
      </c>
    </row>
    <row r="34" spans="1:21" x14ac:dyDescent="0.25">
      <c r="A34" s="41">
        <v>46</v>
      </c>
      <c r="B34" s="42">
        <v>46.5</v>
      </c>
      <c r="C34" s="42">
        <f t="shared" si="2"/>
        <v>2162.25</v>
      </c>
      <c r="D34" s="43">
        <v>8.7696336524198772E-4</v>
      </c>
      <c r="E34" s="44">
        <f t="shared" si="0"/>
        <v>31.5</v>
      </c>
      <c r="F34" s="43">
        <f t="shared" si="1"/>
        <v>4.9869179765370589E-4</v>
      </c>
      <c r="G34" s="43"/>
      <c r="R34" s="39">
        <f>E33/35</f>
        <v>0.87142857142857144</v>
      </c>
      <c r="S34" s="39">
        <f t="shared" si="4"/>
        <v>0.99938656877375698</v>
      </c>
      <c r="T34" s="39">
        <f t="shared" si="5"/>
        <v>2.0119318858691706</v>
      </c>
      <c r="U34" s="39">
        <f t="shared" si="6"/>
        <v>2.2533596347260598E-3</v>
      </c>
    </row>
    <row r="35" spans="1:21" x14ac:dyDescent="0.25">
      <c r="A35" s="41">
        <v>47</v>
      </c>
      <c r="B35" s="42">
        <v>47.5</v>
      </c>
      <c r="C35" s="42">
        <f t="shared" si="2"/>
        <v>2256.25</v>
      </c>
      <c r="D35" s="43">
        <v>4.1730060643928671E-4</v>
      </c>
      <c r="E35" s="44">
        <f t="shared" si="0"/>
        <v>32.5</v>
      </c>
      <c r="F35" s="43">
        <f t="shared" si="1"/>
        <v>1.1675992179341487E-4</v>
      </c>
      <c r="G35" s="43"/>
      <c r="R35" s="39">
        <f t="shared" si="3"/>
        <v>0.9</v>
      </c>
      <c r="S35" s="39">
        <f t="shared" si="4"/>
        <v>0.99983693696766374</v>
      </c>
      <c r="T35" s="39">
        <f t="shared" si="5"/>
        <v>2.0128385521762975</v>
      </c>
      <c r="U35" s="39">
        <f t="shared" si="6"/>
        <v>9.066663071268799E-4</v>
      </c>
    </row>
    <row r="36" spans="1:21" x14ac:dyDescent="0.25">
      <c r="A36" s="41">
        <v>48</v>
      </c>
      <c r="B36" s="42">
        <v>48.5</v>
      </c>
      <c r="C36" s="42">
        <f t="shared" si="2"/>
        <v>2352.25</v>
      </c>
      <c r="D36" s="43">
        <v>2.0124865643652662E-4</v>
      </c>
      <c r="E36" s="44">
        <f t="shared" si="0"/>
        <v>33.5</v>
      </c>
      <c r="F36" s="43">
        <f t="shared" si="1"/>
        <v>1.2190148437002051E-5</v>
      </c>
      <c r="G36" s="43"/>
      <c r="R36" s="39">
        <f t="shared" si="3"/>
        <v>0.9285714285714286</v>
      </c>
      <c r="S36" s="39">
        <f t="shared" si="4"/>
        <v>0.99997318445406513</v>
      </c>
      <c r="T36" s="39">
        <f t="shared" si="5"/>
        <v>2.0131128410959462</v>
      </c>
      <c r="U36" s="39">
        <f t="shared" si="6"/>
        <v>2.7428891964875746E-4</v>
      </c>
    </row>
    <row r="37" spans="1:21" x14ac:dyDescent="0.25">
      <c r="A37" s="41">
        <v>49</v>
      </c>
      <c r="B37" s="42">
        <v>49.5</v>
      </c>
      <c r="C37" s="42">
        <f t="shared" si="2"/>
        <v>2450.25</v>
      </c>
      <c r="D37" s="43">
        <v>4.119940627077852E-4</v>
      </c>
      <c r="E37" s="44">
        <f t="shared" si="0"/>
        <v>34.5</v>
      </c>
      <c r="F37" s="43">
        <f t="shared" si="1"/>
        <v>8.4236322351617012E-8</v>
      </c>
      <c r="G37" s="43"/>
      <c r="R37" s="39">
        <f t="shared" si="3"/>
        <v>0.95714285714285718</v>
      </c>
      <c r="S37" s="39">
        <f t="shared" si="4"/>
        <v>0.9999983464921296</v>
      </c>
      <c r="T37" s="39">
        <f t="shared" si="5"/>
        <v>2.0131634964762339</v>
      </c>
      <c r="U37" s="39">
        <f t="shared" si="6"/>
        <v>5.065538028770078E-5</v>
      </c>
    </row>
    <row r="38" spans="1:21" ht="13" x14ac:dyDescent="0.3">
      <c r="A38" s="45" t="s">
        <v>37</v>
      </c>
      <c r="B38" s="45"/>
      <c r="C38" s="45"/>
      <c r="D38" s="46">
        <f>SUM(D3:D37)</f>
        <v>2.0131668252634238</v>
      </c>
      <c r="E38" s="37"/>
      <c r="F38" s="47">
        <f>SUM(F3:F37)</f>
        <v>2.0131649429641056</v>
      </c>
      <c r="G38" s="37"/>
      <c r="R38" s="39">
        <f t="shared" si="3"/>
        <v>0.98571428571428577</v>
      </c>
      <c r="S38" s="39">
        <f t="shared" si="4"/>
        <v>0.99999999624730096</v>
      </c>
      <c r="T38" s="39">
        <f t="shared" si="5"/>
        <v>2.0131668177086146</v>
      </c>
      <c r="U38" s="39">
        <f t="shared" si="6"/>
        <v>3.3212323806708355E-6</v>
      </c>
    </row>
    <row r="39" spans="1:21" x14ac:dyDescent="0.25">
      <c r="A39" s="48" t="s">
        <v>38</v>
      </c>
      <c r="B39" s="37">
        <f>SUMPRODUCT(B3:B37,D3:D37)/D38</f>
        <v>30.029945312886198</v>
      </c>
      <c r="D39" s="37"/>
      <c r="G39" s="37"/>
      <c r="H39" s="37"/>
      <c r="I39" s="37"/>
      <c r="R39" s="39">
        <v>1</v>
      </c>
      <c r="S39" s="39">
        <f t="shared" si="4"/>
        <v>1</v>
      </c>
      <c r="T39" s="39">
        <f t="shared" si="5"/>
        <v>2.0131668252634238</v>
      </c>
      <c r="U39" s="39">
        <f>SUM(U4:U38)</f>
        <v>2.0131668177086146</v>
      </c>
    </row>
    <row r="40" spans="1:21" x14ac:dyDescent="0.25">
      <c r="A40" s="48" t="s">
        <v>39</v>
      </c>
      <c r="B40" s="37">
        <f>SUMPRODUCT(C3:C37,D3:D37)/D38-B39^2</f>
        <v>27.688362076724047</v>
      </c>
      <c r="E40" s="48" t="s">
        <v>38</v>
      </c>
      <c r="F40" s="48" t="s">
        <v>39</v>
      </c>
      <c r="G40" s="37"/>
      <c r="H40" s="37"/>
      <c r="I40" s="37"/>
    </row>
    <row r="41" spans="1:21" ht="15" x14ac:dyDescent="0.3">
      <c r="A41" s="37"/>
      <c r="B41" s="37"/>
      <c r="C41" s="37"/>
      <c r="D41" s="49" t="s">
        <v>40</v>
      </c>
      <c r="E41" s="49" t="s">
        <v>41</v>
      </c>
      <c r="F41" s="37"/>
      <c r="G41" s="37"/>
      <c r="H41" s="37"/>
    </row>
    <row r="42" spans="1:21" ht="13" x14ac:dyDescent="0.3">
      <c r="A42" s="37"/>
      <c r="B42" s="37"/>
      <c r="C42" s="50" t="s">
        <v>42</v>
      </c>
      <c r="D42" s="51">
        <f>(B39-15)/35</f>
        <v>0.42942700893960567</v>
      </c>
      <c r="E42" s="51">
        <f>B40/(35^2)</f>
        <v>2.2602744552427792E-2</v>
      </c>
      <c r="F42" s="37"/>
      <c r="G42" s="37"/>
      <c r="H42" s="37"/>
    </row>
    <row r="43" spans="1:21" ht="13" x14ac:dyDescent="0.3">
      <c r="A43" s="45" t="s">
        <v>24</v>
      </c>
      <c r="B43" s="45"/>
      <c r="D43" s="52">
        <f>((1-D42)*D42^2)/E42-D42</f>
        <v>4.2256700993292506</v>
      </c>
      <c r="E43" s="37"/>
      <c r="F43" s="37"/>
      <c r="H43" s="53"/>
      <c r="I43" s="37"/>
      <c r="J43" s="54"/>
    </row>
    <row r="44" spans="1:21" ht="13" x14ac:dyDescent="0.3">
      <c r="A44" s="45" t="s">
        <v>43</v>
      </c>
      <c r="B44" s="45"/>
      <c r="D44" s="52">
        <f>((1-D42)^2*D42)/E42-(1-D42)</f>
        <v>5.6145821702329242</v>
      </c>
      <c r="E44" s="37"/>
      <c r="F44" s="37"/>
      <c r="H44" s="55"/>
      <c r="I44" s="37"/>
      <c r="J44" s="54"/>
    </row>
    <row r="45" spans="1:21" ht="13" x14ac:dyDescent="0.3">
      <c r="A45" s="56" t="s">
        <v>44</v>
      </c>
      <c r="B45" s="56"/>
      <c r="D45" s="52">
        <f>D43+D44</f>
        <v>9.8402522695621748</v>
      </c>
      <c r="E45" s="37"/>
      <c r="F45" s="37"/>
      <c r="H45" s="53"/>
      <c r="I45" s="37"/>
      <c r="J45" s="54"/>
    </row>
    <row r="46" spans="1:21" ht="13" x14ac:dyDescent="0.3">
      <c r="A46" s="45" t="s">
        <v>26</v>
      </c>
      <c r="B46" s="45"/>
      <c r="D46" s="52">
        <f>_xlfn.GAMMA(D43)</f>
        <v>8.0229497526402067</v>
      </c>
      <c r="E46" s="37"/>
      <c r="F46" s="37"/>
    </row>
    <row r="47" spans="1:21" ht="13" x14ac:dyDescent="0.3">
      <c r="A47" s="45" t="s">
        <v>45</v>
      </c>
      <c r="B47" s="45"/>
      <c r="D47" s="52">
        <f>_xlfn.GAMMA(D44)</f>
        <v>63.03658597910902</v>
      </c>
      <c r="E47" s="37"/>
      <c r="F47" s="37"/>
    </row>
    <row r="48" spans="1:21" ht="13" x14ac:dyDescent="0.3">
      <c r="A48" s="45" t="s">
        <v>46</v>
      </c>
      <c r="B48" s="45"/>
      <c r="D48" s="52">
        <f>_xlfn.GAMMA(D43+D44)</f>
        <v>253587.5921236719</v>
      </c>
      <c r="E48" s="37"/>
      <c r="F48" s="37"/>
    </row>
    <row r="49" spans="1:8" ht="13" x14ac:dyDescent="0.3">
      <c r="A49" s="45"/>
      <c r="B49" s="45"/>
      <c r="D49" s="52"/>
      <c r="E49" s="37"/>
      <c r="F49" s="37"/>
    </row>
    <row r="51" spans="1:8" ht="14.5" x14ac:dyDescent="0.35">
      <c r="A51" s="57" t="s">
        <v>47</v>
      </c>
    </row>
    <row r="52" spans="1:8" x14ac:dyDescent="0.25">
      <c r="A52" s="58"/>
    </row>
    <row r="53" spans="1:8" ht="14.5" x14ac:dyDescent="0.35">
      <c r="A53" s="57" t="s">
        <v>48</v>
      </c>
    </row>
    <row r="56" spans="1:8" x14ac:dyDescent="0.25">
      <c r="A56" s="37"/>
      <c r="B56" s="37"/>
      <c r="C56" s="36" t="s">
        <v>49</v>
      </c>
      <c r="D56" s="37"/>
      <c r="E56" s="37"/>
      <c r="F56" s="37"/>
      <c r="G56" s="36" t="s">
        <v>49</v>
      </c>
    </row>
    <row r="57" spans="1:8" ht="15.5" x14ac:dyDescent="0.4">
      <c r="A57" s="40" t="s">
        <v>32</v>
      </c>
      <c r="B57" s="40" t="s">
        <v>33</v>
      </c>
      <c r="C57" s="36" t="s">
        <v>34</v>
      </c>
      <c r="D57" s="36" t="s">
        <v>50</v>
      </c>
      <c r="E57" s="36" t="s">
        <v>51</v>
      </c>
      <c r="F57" s="36" t="s">
        <v>35</v>
      </c>
      <c r="G57" s="36" t="s">
        <v>52</v>
      </c>
    </row>
    <row r="58" spans="1:8" x14ac:dyDescent="0.25">
      <c r="A58" s="59" t="s">
        <v>53</v>
      </c>
      <c r="B58" s="59">
        <v>17.5</v>
      </c>
      <c r="C58" s="37">
        <v>4.8388543917936247E-2</v>
      </c>
      <c r="D58" s="37">
        <f>B58*C58</f>
        <v>0.84679951856388436</v>
      </c>
      <c r="E58" s="37">
        <f>B58^2*C58</f>
        <v>14.818991574867976</v>
      </c>
      <c r="F58" s="39">
        <f>B58-15</f>
        <v>2.5</v>
      </c>
      <c r="G58" s="43">
        <f>5*C$65*D$75/(D$73*D$74)*F58^(D$70-1)*(50-B58)^(D$71-1)/35^(D$70+D$71-1)</f>
        <v>2.8237240026553326E-2</v>
      </c>
      <c r="H58" s="60"/>
    </row>
    <row r="59" spans="1:8" x14ac:dyDescent="0.25">
      <c r="A59" s="59" t="s">
        <v>54</v>
      </c>
      <c r="B59" s="59">
        <v>22.5</v>
      </c>
      <c r="C59" s="37">
        <v>0.30180424886437907</v>
      </c>
      <c r="D59" s="37">
        <f t="shared" ref="D59:D64" si="7">B59*C59</f>
        <v>6.7905955994485288</v>
      </c>
      <c r="E59" s="37">
        <f t="shared" ref="E59:E64" si="8">B59^2*C59</f>
        <v>152.7884009875919</v>
      </c>
      <c r="F59" s="39">
        <f t="shared" ref="F59:F64" si="9">B59-15</f>
        <v>7.5</v>
      </c>
      <c r="G59" s="43">
        <f t="shared" ref="G59:G64" si="10">5*C$65*D$75/(D$73*D$74)*F59^(D$70-1)*(50-B59)^(D$71-1)/35^(D$70+D$71-1)</f>
        <v>0.34379548519188052</v>
      </c>
      <c r="H59" s="60"/>
    </row>
    <row r="60" spans="1:8" x14ac:dyDescent="0.25">
      <c r="A60" s="59" t="s">
        <v>55</v>
      </c>
      <c r="B60" s="59">
        <v>27.5</v>
      </c>
      <c r="C60" s="37">
        <v>0.6688393472591655</v>
      </c>
      <c r="D60" s="37">
        <f t="shared" si="7"/>
        <v>18.393082049627051</v>
      </c>
      <c r="E60" s="37">
        <f t="shared" si="8"/>
        <v>505.80975636474392</v>
      </c>
      <c r="F60" s="39">
        <f t="shared" si="9"/>
        <v>12.5</v>
      </c>
      <c r="G60" s="43">
        <f t="shared" si="10"/>
        <v>0.65592313155792459</v>
      </c>
      <c r="H60" s="60"/>
    </row>
    <row r="61" spans="1:8" x14ac:dyDescent="0.25">
      <c r="A61" s="59" t="s">
        <v>56</v>
      </c>
      <c r="B61" s="59">
        <v>32.5</v>
      </c>
      <c r="C61" s="37">
        <v>0.63752977616924034</v>
      </c>
      <c r="D61" s="37">
        <f t="shared" si="7"/>
        <v>20.71971772550031</v>
      </c>
      <c r="E61" s="37">
        <f t="shared" si="8"/>
        <v>673.39082607876014</v>
      </c>
      <c r="F61" s="39">
        <f t="shared" si="9"/>
        <v>17.5</v>
      </c>
      <c r="G61" s="43">
        <f t="shared" si="10"/>
        <v>0.60885768205908297</v>
      </c>
      <c r="H61" s="60"/>
    </row>
    <row r="62" spans="1:8" x14ac:dyDescent="0.25">
      <c r="A62" s="59" t="s">
        <v>57</v>
      </c>
      <c r="B62" s="59">
        <v>37.5</v>
      </c>
      <c r="C62" s="37">
        <v>0.29188631811984334</v>
      </c>
      <c r="D62" s="37">
        <f t="shared" si="7"/>
        <v>10.945736929494124</v>
      </c>
      <c r="E62" s="37">
        <f t="shared" si="8"/>
        <v>410.46513485602969</v>
      </c>
      <c r="F62" s="39">
        <f t="shared" si="9"/>
        <v>22.5</v>
      </c>
      <c r="G62" s="43">
        <f t="shared" si="10"/>
        <v>0.30848448522328681</v>
      </c>
      <c r="H62" s="60"/>
    </row>
    <row r="63" spans="1:8" x14ac:dyDescent="0.25">
      <c r="A63" s="59" t="s">
        <v>21</v>
      </c>
      <c r="B63" s="59">
        <v>42.5</v>
      </c>
      <c r="C63" s="37">
        <v>6.1099793603036939E-2</v>
      </c>
      <c r="D63" s="37">
        <f t="shared" si="7"/>
        <v>2.59674122812907</v>
      </c>
      <c r="E63" s="37">
        <f t="shared" si="8"/>
        <v>110.36150219548547</v>
      </c>
      <c r="F63" s="39">
        <f t="shared" si="9"/>
        <v>27.5</v>
      </c>
      <c r="G63" s="43">
        <f t="shared" si="10"/>
        <v>6.4879550673246633E-2</v>
      </c>
      <c r="H63" s="60"/>
    </row>
    <row r="64" spans="1:8" x14ac:dyDescent="0.25">
      <c r="A64" s="59" t="s">
        <v>22</v>
      </c>
      <c r="B64" s="59">
        <v>47.5</v>
      </c>
      <c r="C64" s="37">
        <v>3.618797329821954E-3</v>
      </c>
      <c r="D64" s="37">
        <f t="shared" si="7"/>
        <v>0.17189287316654281</v>
      </c>
      <c r="E64" s="37">
        <f t="shared" si="8"/>
        <v>8.1649114754107845</v>
      </c>
      <c r="F64" s="39">
        <f t="shared" si="9"/>
        <v>32.5</v>
      </c>
      <c r="G64" s="43">
        <f t="shared" si="10"/>
        <v>1.0499648218012039E-3</v>
      </c>
      <c r="H64" s="60"/>
    </row>
    <row r="65" spans="1:8" ht="13" x14ac:dyDescent="0.3">
      <c r="A65" s="45" t="s">
        <v>58</v>
      </c>
      <c r="C65" s="52">
        <f>SUM(C58:C64)</f>
        <v>2.0131668252634234</v>
      </c>
      <c r="D65" s="37">
        <f>SUM(D58:D64)</f>
        <v>60.464565923929513</v>
      </c>
      <c r="E65" s="37">
        <f>SUM(E58:E64)</f>
        <v>1875.7995235328897</v>
      </c>
      <c r="G65" s="54">
        <f>SUM(G58:G64)</f>
        <v>2.0112275395537762</v>
      </c>
      <c r="H65" s="60"/>
    </row>
    <row r="66" spans="1:8" ht="13" x14ac:dyDescent="0.3">
      <c r="D66" s="35">
        <f>D65/C65</f>
        <v>30.034553105661132</v>
      </c>
      <c r="E66" s="35">
        <f>E65/C65-D66^2</f>
        <v>29.691184322024014</v>
      </c>
    </row>
    <row r="67" spans="1:8" x14ac:dyDescent="0.25">
      <c r="D67" s="36" t="s">
        <v>38</v>
      </c>
      <c r="E67" s="36" t="s">
        <v>39</v>
      </c>
    </row>
    <row r="68" spans="1:8" ht="15" x14ac:dyDescent="0.3">
      <c r="D68" s="49" t="s">
        <v>40</v>
      </c>
      <c r="E68" s="49" t="s">
        <v>41</v>
      </c>
    </row>
    <row r="69" spans="1:8" ht="13" x14ac:dyDescent="0.3">
      <c r="C69" s="50" t="s">
        <v>42</v>
      </c>
      <c r="D69" s="51">
        <f>(D66-15)/35</f>
        <v>0.42955866016174665</v>
      </c>
      <c r="E69" s="51">
        <f>E66/(35^2)</f>
        <v>2.4237701487366543E-2</v>
      </c>
    </row>
    <row r="70" spans="1:8" ht="13" x14ac:dyDescent="0.3">
      <c r="A70" s="45" t="s">
        <v>24</v>
      </c>
      <c r="C70" s="52"/>
      <c r="D70" s="52">
        <f>((1-D69)*D69^2)/E69-D69</f>
        <v>3.9131882212520042</v>
      </c>
      <c r="E70" s="37"/>
      <c r="H70" s="37"/>
    </row>
    <row r="71" spans="1:8" ht="13" x14ac:dyDescent="0.3">
      <c r="A71" s="45" t="s">
        <v>43</v>
      </c>
      <c r="C71" s="52"/>
      <c r="D71" s="52">
        <f>((1-D69)^2*D69)/E69-(1-D69)</f>
        <v>5.1965995310855364</v>
      </c>
      <c r="E71" s="37"/>
      <c r="H71" s="37"/>
    </row>
    <row r="72" spans="1:8" ht="13" x14ac:dyDescent="0.3">
      <c r="A72" s="56" t="s">
        <v>44</v>
      </c>
      <c r="D72" s="52">
        <f>D70+D71</f>
        <v>9.1097877523375406</v>
      </c>
      <c r="H72" s="37"/>
    </row>
    <row r="73" spans="1:8" ht="13" x14ac:dyDescent="0.3">
      <c r="A73" s="45" t="s">
        <v>26</v>
      </c>
      <c r="D73" s="52">
        <f>_xlfn.GAMMA(D70)</f>
        <v>5.38594068057066</v>
      </c>
    </row>
    <row r="74" spans="1:8" ht="13" x14ac:dyDescent="0.3">
      <c r="A74" s="45" t="s">
        <v>45</v>
      </c>
      <c r="D74" s="52">
        <f>_xlfn.GAMMA(D71)</f>
        <v>32.406939614883839</v>
      </c>
    </row>
    <row r="75" spans="1:8" ht="13" x14ac:dyDescent="0.3">
      <c r="A75" s="45" t="s">
        <v>46</v>
      </c>
      <c r="D75" s="52">
        <f>_xlfn.GAMMA(D70+D71)</f>
        <v>51037.927062474249</v>
      </c>
    </row>
    <row r="76" spans="1:8" ht="13" x14ac:dyDescent="0.3">
      <c r="A76" s="45"/>
      <c r="D76" s="52"/>
    </row>
    <row r="79" spans="1:8" x14ac:dyDescent="0.25">
      <c r="A79" s="37"/>
      <c r="B79" s="37"/>
      <c r="C79" s="40"/>
      <c r="D79" s="37"/>
      <c r="E79" s="37"/>
      <c r="F79" s="37"/>
      <c r="G79" s="40"/>
    </row>
    <row r="80" spans="1:8" x14ac:dyDescent="0.25">
      <c r="A80" s="40"/>
      <c r="B80" s="40"/>
      <c r="C80" s="36"/>
      <c r="D80" s="36"/>
      <c r="E80" s="36"/>
      <c r="F80" s="36"/>
      <c r="G80" s="36"/>
    </row>
    <row r="81" spans="1:8" x14ac:dyDescent="0.25">
      <c r="A81" s="59"/>
      <c r="B81" s="59"/>
      <c r="C81" s="37"/>
      <c r="D81" s="37"/>
      <c r="E81" s="37"/>
    </row>
    <row r="82" spans="1:8" x14ac:dyDescent="0.25">
      <c r="A82" s="59"/>
      <c r="B82" s="59"/>
      <c r="C82" s="37"/>
      <c r="D82" s="37"/>
      <c r="E82" s="37"/>
    </row>
    <row r="83" spans="1:8" x14ac:dyDescent="0.25">
      <c r="A83" s="59"/>
      <c r="B83" s="59"/>
      <c r="C83" s="37"/>
      <c r="D83" s="37"/>
      <c r="E83" s="37"/>
    </row>
    <row r="84" spans="1:8" x14ac:dyDescent="0.25">
      <c r="A84" s="59"/>
      <c r="B84" s="59"/>
      <c r="C84" s="37"/>
      <c r="D84" s="37"/>
      <c r="E84" s="37"/>
    </row>
    <row r="85" spans="1:8" x14ac:dyDescent="0.25">
      <c r="A85" s="59"/>
      <c r="B85" s="59"/>
      <c r="C85" s="37"/>
      <c r="D85" s="37"/>
      <c r="E85" s="37"/>
    </row>
    <row r="86" spans="1:8" x14ac:dyDescent="0.25">
      <c r="A86" s="59"/>
      <c r="B86" s="59"/>
      <c r="C86" s="37"/>
      <c r="D86" s="37"/>
      <c r="E86" s="37"/>
    </row>
    <row r="87" spans="1:8" x14ac:dyDescent="0.25">
      <c r="A87" s="59"/>
      <c r="B87" s="59"/>
      <c r="C87" s="37"/>
      <c r="D87" s="37"/>
      <c r="E87" s="37"/>
    </row>
    <row r="88" spans="1:8" ht="13" x14ac:dyDescent="0.3">
      <c r="A88" s="45"/>
      <c r="C88" s="37"/>
      <c r="D88" s="37"/>
      <c r="E88" s="37"/>
    </row>
    <row r="89" spans="1:8" ht="13" x14ac:dyDescent="0.3">
      <c r="D89" s="35"/>
      <c r="E89" s="35"/>
    </row>
    <row r="90" spans="1:8" x14ac:dyDescent="0.25">
      <c r="D90" s="36"/>
      <c r="E90" s="36"/>
    </row>
    <row r="91" spans="1:8" x14ac:dyDescent="0.25">
      <c r="D91" s="36"/>
      <c r="E91" s="36"/>
    </row>
    <row r="92" spans="1:8" ht="13" x14ac:dyDescent="0.3">
      <c r="C92" s="40"/>
      <c r="D92" s="51"/>
      <c r="E92" s="51"/>
    </row>
    <row r="93" spans="1:8" ht="13" x14ac:dyDescent="0.3">
      <c r="A93" s="45"/>
      <c r="C93" s="52"/>
      <c r="D93" s="52"/>
      <c r="E93" s="37"/>
      <c r="H93" s="37"/>
    </row>
    <row r="94" spans="1:8" ht="13" x14ac:dyDescent="0.3">
      <c r="A94" s="45"/>
      <c r="C94" s="52"/>
      <c r="D94" s="52"/>
      <c r="E94" s="37"/>
      <c r="H94" s="37"/>
    </row>
    <row r="95" spans="1:8" ht="13" x14ac:dyDescent="0.3">
      <c r="A95" s="56"/>
      <c r="D95" s="52"/>
      <c r="H95" s="37"/>
    </row>
    <row r="96" spans="1:8" ht="13" x14ac:dyDescent="0.3">
      <c r="A96" s="45"/>
      <c r="D96" s="52"/>
    </row>
    <row r="97" spans="1:4" ht="13" x14ac:dyDescent="0.3">
      <c r="A97" s="45"/>
      <c r="D97" s="52"/>
    </row>
    <row r="98" spans="1:4" ht="13" x14ac:dyDescent="0.3">
      <c r="A98" s="45"/>
      <c r="D98" s="52"/>
    </row>
    <row r="99" spans="1:4" ht="13" x14ac:dyDescent="0.3">
      <c r="A99" s="45"/>
      <c r="D99" s="52"/>
    </row>
  </sheetData>
  <hyperlinks>
    <hyperlink ref="A51" r:id="rId1" xr:uid="{00000000-0004-0000-0100-000000000000}"/>
    <hyperlink ref="A53" r:id="rId2" xr:uid="{00000000-0004-0000-0100-000001000000}"/>
  </hyperlinks>
  <pageMargins left="0.7" right="0.7" top="0.75" bottom="0.75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Equation.3" shapeId="2050" r:id="rId6">
          <objectPr defaultSize="0" autoPict="0" r:id="rId7">
            <anchor moveWithCells="1" sizeWithCells="1">
              <from>
                <xdr:col>8</xdr:col>
                <xdr:colOff>698500</xdr:colOff>
                <xdr:row>74</xdr:row>
                <xdr:rowOff>19050</xdr:rowOff>
              </from>
              <to>
                <xdr:col>16</xdr:col>
                <xdr:colOff>476250</xdr:colOff>
                <xdr:row>79</xdr:row>
                <xdr:rowOff>101600</xdr:rowOff>
              </to>
            </anchor>
          </objectPr>
        </oleObject>
      </mc:Choice>
      <mc:Fallback>
        <oleObject progId="Equation.3" shapeId="205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Gamma</vt:lpstr>
      <vt:lpstr>Beta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Avdeev</dc:creator>
  <cp:lastModifiedBy>Alexandre Avdeev</cp:lastModifiedBy>
  <dcterms:created xsi:type="dcterms:W3CDTF">2016-11-24T10:19:09Z</dcterms:created>
  <dcterms:modified xsi:type="dcterms:W3CDTF">2021-11-24T20:36:54Z</dcterms:modified>
</cp:coreProperties>
</file>